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https://itaipudigital.sharepoint.com/teams/DivSuporteTecnico/DocumentosProcesso/NF 1798-25/Aditivos/Aditivo 1/"/>
    </mc:Choice>
  </mc:AlternateContent>
  <xr:revisionPtr revIDLastSave="9" documentId="13_ncr:1_{22263C8A-4BD0-479F-9BDB-D7B887165A73}" xr6:coauthVersionLast="47" xr6:coauthVersionMax="47" xr10:uidLastSave="{1EB8E40C-9E3D-414E-816B-B141F8E9F36B}"/>
  <bookViews>
    <workbookView xWindow="28680" yWindow="-120" windowWidth="29040" windowHeight="15720" tabRatio="851" xr2:uid="{00000000-000D-0000-FFFF-FFFF00000000}"/>
  </bookViews>
  <sheets>
    <sheet name="Capa" sheetId="17" r:id="rId1"/>
    <sheet name="1. Planilha de Preços" sheetId="8" r:id="rId2"/>
    <sheet name="2. Planilha Auxiliar Resumo" sheetId="10" r:id="rId3"/>
    <sheet name="3. Planilha Auxiliar Pessoal" sheetId="5" r:id="rId4"/>
    <sheet name="4. Memória Cálculo Fixos" sheetId="11" r:id="rId5"/>
    <sheet name="5. Memória Cálculo Variáveis" sheetId="16" r:id="rId6"/>
  </sheets>
  <definedNames>
    <definedName name="_xlnm.Print_Area" localSheetId="1">'1. Planilha de Preços'!$A$1:$G$11</definedName>
    <definedName name="_xlnm.Print_Area" localSheetId="3">'3. Planilha Auxiliar Pessoal'!$A$1:$S$130</definedName>
    <definedName name="Print_Area" localSheetId="1">'1. Planilha de Preços'!$A$1:$G$10</definedName>
    <definedName name="Print_Area" localSheetId="2">'2. Planilha Auxiliar Resumo'!$A$1:$G$40</definedName>
    <definedName name="Print_Area" localSheetId="3">'3. Planilha Auxiliar Pessoal'!$A$1:$S$129</definedName>
    <definedName name="Print_Area" localSheetId="4">'4. Memória Cálculo Fixos'!$A$2:$D$62</definedName>
    <definedName name="Print_Area" localSheetId="5">'5. Memória Cálculo Variáveis'!$A$2:$D$38</definedName>
  </definedName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8" l="1"/>
  <c r="G26" i="10"/>
  <c r="J22" i="5"/>
  <c r="L22" i="5"/>
  <c r="N22" i="5"/>
  <c r="P22" i="5"/>
  <c r="J23" i="5"/>
  <c r="L23" i="5"/>
  <c r="N23" i="5"/>
  <c r="P23" i="5"/>
  <c r="R23" i="5"/>
  <c r="J24" i="5"/>
  <c r="J25" i="5"/>
  <c r="R25" i="5"/>
  <c r="P25" i="5"/>
  <c r="J28" i="5"/>
  <c r="L28" i="5"/>
  <c r="N28" i="5"/>
  <c r="P28" i="5"/>
  <c r="F6" i="8"/>
  <c r="I9" i="5"/>
  <c r="H13" i="5"/>
  <c r="H29" i="5"/>
  <c r="H38" i="5"/>
  <c r="H123" i="5"/>
  <c r="I110" i="5"/>
  <c r="H57" i="5"/>
  <c r="H58" i="5"/>
  <c r="H53" i="5"/>
  <c r="H59" i="5"/>
  <c r="H60" i="5"/>
  <c r="H65" i="5"/>
  <c r="H66" i="5"/>
  <c r="H67" i="5"/>
  <c r="H68" i="5"/>
  <c r="H75" i="5"/>
  <c r="H76" i="5"/>
  <c r="H77" i="5"/>
  <c r="H78" i="5"/>
  <c r="H79" i="5"/>
  <c r="H80" i="5"/>
  <c r="H82" i="5"/>
  <c r="H83" i="5"/>
  <c r="H84" i="5"/>
  <c r="H85" i="5"/>
  <c r="H88" i="5"/>
  <c r="H96" i="5"/>
  <c r="H97" i="5"/>
  <c r="H98" i="5"/>
  <c r="H99" i="5"/>
  <c r="H100" i="5"/>
  <c r="K9" i="5"/>
  <c r="J13" i="5"/>
  <c r="J36" i="5"/>
  <c r="R36" i="5"/>
  <c r="R38" i="5"/>
  <c r="R123" i="5"/>
  <c r="K110" i="5"/>
  <c r="J57" i="5"/>
  <c r="J58" i="5"/>
  <c r="J53" i="5"/>
  <c r="J59" i="5"/>
  <c r="J60" i="5"/>
  <c r="J65" i="5"/>
  <c r="J66" i="5"/>
  <c r="J67" i="5"/>
  <c r="J68" i="5"/>
  <c r="J75" i="5"/>
  <c r="J76" i="5"/>
  <c r="J77" i="5"/>
  <c r="J78" i="5"/>
  <c r="J79" i="5"/>
  <c r="J80" i="5"/>
  <c r="J82" i="5"/>
  <c r="J83" i="5"/>
  <c r="J84" i="5"/>
  <c r="J85" i="5"/>
  <c r="J88" i="5"/>
  <c r="J96" i="5"/>
  <c r="J97" i="5"/>
  <c r="J98" i="5"/>
  <c r="J99" i="5"/>
  <c r="J100" i="5"/>
  <c r="Q9" i="5"/>
  <c r="P13" i="5"/>
  <c r="P36" i="5"/>
  <c r="P38" i="5"/>
  <c r="P123" i="5"/>
  <c r="Q110" i="5"/>
  <c r="P9" i="5"/>
  <c r="S9" i="5"/>
  <c r="R13" i="5"/>
  <c r="R29" i="5"/>
  <c r="S110" i="5"/>
  <c r="R57" i="5"/>
  <c r="R58" i="5"/>
  <c r="R53" i="5"/>
  <c r="R59" i="5"/>
  <c r="R60" i="5"/>
  <c r="R65" i="5"/>
  <c r="R66" i="5"/>
  <c r="R67" i="5"/>
  <c r="R68" i="5"/>
  <c r="R69" i="5"/>
  <c r="R70" i="5"/>
  <c r="R71" i="5"/>
  <c r="R113" i="5"/>
  <c r="R75" i="5"/>
  <c r="R76" i="5"/>
  <c r="R77" i="5"/>
  <c r="R78" i="5"/>
  <c r="R79" i="5"/>
  <c r="R80" i="5"/>
  <c r="R82" i="5"/>
  <c r="R83" i="5"/>
  <c r="R84" i="5"/>
  <c r="R85" i="5"/>
  <c r="R88" i="5"/>
  <c r="R81" i="5"/>
  <c r="R86" i="5"/>
  <c r="R89" i="5"/>
  <c r="R90" i="5"/>
  <c r="R91" i="5"/>
  <c r="R96" i="5"/>
  <c r="R97" i="5"/>
  <c r="R98" i="5"/>
  <c r="R99" i="5"/>
  <c r="R100" i="5"/>
  <c r="R103" i="5"/>
  <c r="R104" i="5"/>
  <c r="R105" i="5"/>
  <c r="R106" i="5"/>
  <c r="M9" i="5"/>
  <c r="L13" i="5"/>
  <c r="M110" i="5"/>
  <c r="L57" i="5"/>
  <c r="L58" i="5"/>
  <c r="L53" i="5"/>
  <c r="L59" i="5"/>
  <c r="L60" i="5"/>
  <c r="L65" i="5"/>
  <c r="L66" i="5"/>
  <c r="L67" i="5"/>
  <c r="L68" i="5"/>
  <c r="L75" i="5"/>
  <c r="L76" i="5"/>
  <c r="L77" i="5"/>
  <c r="L78" i="5"/>
  <c r="L79" i="5"/>
  <c r="L80" i="5"/>
  <c r="L82" i="5"/>
  <c r="L83" i="5"/>
  <c r="L84" i="5"/>
  <c r="L85" i="5"/>
  <c r="L88" i="5"/>
  <c r="L96" i="5"/>
  <c r="L97" i="5"/>
  <c r="L98" i="5"/>
  <c r="L99" i="5"/>
  <c r="L100" i="5"/>
  <c r="O9" i="5"/>
  <c r="N13" i="5"/>
  <c r="O110" i="5"/>
  <c r="N57" i="5"/>
  <c r="N58" i="5"/>
  <c r="N53" i="5"/>
  <c r="N59" i="5"/>
  <c r="N60" i="5"/>
  <c r="N65" i="5"/>
  <c r="N66" i="5"/>
  <c r="N67" i="5"/>
  <c r="N68" i="5"/>
  <c r="N75" i="5"/>
  <c r="N76" i="5"/>
  <c r="N77" i="5"/>
  <c r="N78" i="5"/>
  <c r="N79" i="5"/>
  <c r="N80" i="5"/>
  <c r="N82" i="5"/>
  <c r="N83" i="5"/>
  <c r="N84" i="5"/>
  <c r="N85" i="5"/>
  <c r="N88" i="5"/>
  <c r="N96" i="5"/>
  <c r="N97" i="5"/>
  <c r="N98" i="5"/>
  <c r="N99" i="5"/>
  <c r="N100" i="5"/>
  <c r="N111" i="5"/>
  <c r="H61" i="5"/>
  <c r="N112" i="5"/>
  <c r="H69" i="5"/>
  <c r="H70" i="5"/>
  <c r="H71" i="5"/>
  <c r="H81" i="5"/>
  <c r="H86" i="5"/>
  <c r="H89" i="5"/>
  <c r="H90" i="5"/>
  <c r="H91" i="5"/>
  <c r="H92" i="5"/>
  <c r="H103" i="5"/>
  <c r="H104" i="5"/>
  <c r="H105" i="5"/>
  <c r="H106" i="5"/>
  <c r="H107" i="5"/>
  <c r="J115" i="5"/>
  <c r="N115" i="5"/>
  <c r="N110" i="5"/>
  <c r="L111" i="5"/>
  <c r="L112" i="5"/>
  <c r="L115" i="5"/>
  <c r="L110" i="5"/>
  <c r="N103" i="5"/>
  <c r="N104" i="5"/>
  <c r="N105" i="5"/>
  <c r="N106" i="5"/>
  <c r="N107" i="5"/>
  <c r="L103" i="5"/>
  <c r="L104" i="5"/>
  <c r="L105" i="5"/>
  <c r="L106" i="5"/>
  <c r="L107" i="5"/>
  <c r="N81" i="5"/>
  <c r="N86" i="5"/>
  <c r="N89" i="5"/>
  <c r="N90" i="5"/>
  <c r="N91" i="5"/>
  <c r="N92" i="5"/>
  <c r="L81" i="5"/>
  <c r="L86" i="5"/>
  <c r="L89" i="5"/>
  <c r="L90" i="5"/>
  <c r="L91" i="5"/>
  <c r="L92" i="5"/>
  <c r="N69" i="5"/>
  <c r="N70" i="5"/>
  <c r="N71" i="5"/>
  <c r="L69" i="5"/>
  <c r="L70" i="5"/>
  <c r="L71" i="5"/>
  <c r="N61" i="5"/>
  <c r="L61" i="5"/>
  <c r="N7" i="5"/>
  <c r="L7" i="5"/>
  <c r="J7" i="5"/>
  <c r="C32" i="11"/>
  <c r="C34" i="11"/>
  <c r="C36" i="11"/>
  <c r="G8" i="10"/>
  <c r="R110" i="5"/>
  <c r="R111" i="5"/>
  <c r="R9" i="5"/>
  <c r="P53" i="5"/>
  <c r="P111" i="5"/>
  <c r="C15" i="11"/>
  <c r="C16" i="11"/>
  <c r="C18" i="11"/>
  <c r="C20" i="11"/>
  <c r="J110" i="5"/>
  <c r="J89" i="5"/>
  <c r="P7" i="5"/>
  <c r="C41" i="11"/>
  <c r="C43" i="11"/>
  <c r="C45" i="11"/>
  <c r="G10" i="10"/>
  <c r="C28" i="11"/>
  <c r="G9" i="10"/>
  <c r="C22" i="16"/>
  <c r="C24" i="16"/>
  <c r="G20" i="10"/>
  <c r="C50" i="11"/>
  <c r="C51" i="11"/>
  <c r="C16" i="16"/>
  <c r="C18" i="16"/>
  <c r="G19" i="10"/>
  <c r="C28" i="16"/>
  <c r="C30" i="16"/>
  <c r="G21" i="10"/>
  <c r="C10" i="16"/>
  <c r="C12" i="16"/>
  <c r="G18" i="10"/>
  <c r="C4" i="16"/>
  <c r="C6" i="16"/>
  <c r="G17" i="10"/>
  <c r="C7" i="11"/>
  <c r="C8" i="11"/>
  <c r="C65" i="11"/>
  <c r="C63" i="11"/>
  <c r="B124" i="5"/>
  <c r="A124" i="5"/>
  <c r="B123" i="5"/>
  <c r="A123" i="5"/>
  <c r="B122" i="5"/>
  <c r="A122" i="5"/>
  <c r="B121" i="5"/>
  <c r="A121" i="5"/>
  <c r="B115" i="5"/>
  <c r="A115" i="5"/>
  <c r="B114" i="5"/>
  <c r="A114" i="5"/>
  <c r="B113" i="5"/>
  <c r="A113" i="5"/>
  <c r="B112" i="5"/>
  <c r="A112" i="5"/>
  <c r="B111" i="5"/>
  <c r="A111" i="5"/>
  <c r="P110" i="5"/>
  <c r="H110" i="5"/>
  <c r="B109" i="5"/>
  <c r="A109" i="5"/>
  <c r="P100" i="5"/>
  <c r="P99" i="5"/>
  <c r="P98" i="5"/>
  <c r="P97" i="5"/>
  <c r="P96" i="5"/>
  <c r="P88" i="5"/>
  <c r="P89" i="5"/>
  <c r="P82" i="5"/>
  <c r="P75" i="5"/>
  <c r="P76" i="5"/>
  <c r="P77" i="5"/>
  <c r="P58" i="5"/>
  <c r="P57" i="5"/>
  <c r="P59" i="5"/>
  <c r="P60" i="5"/>
  <c r="P61" i="5"/>
  <c r="P112" i="5"/>
  <c r="J103" i="5"/>
  <c r="J104" i="5"/>
  <c r="J105" i="5"/>
  <c r="P83" i="5"/>
  <c r="P84" i="5"/>
  <c r="P103" i="5"/>
  <c r="P104" i="5"/>
  <c r="P105" i="5"/>
  <c r="P78" i="5"/>
  <c r="J111" i="5"/>
  <c r="P85" i="5"/>
  <c r="H111" i="5"/>
  <c r="P65" i="5"/>
  <c r="R61" i="5"/>
  <c r="R112" i="5"/>
  <c r="P66" i="5"/>
  <c r="P67" i="5"/>
  <c r="J112" i="5"/>
  <c r="P86" i="5"/>
  <c r="J86" i="5"/>
  <c r="J106" i="5"/>
  <c r="J107" i="5"/>
  <c r="P79" i="5"/>
  <c r="P80" i="5"/>
  <c r="J81" i="5"/>
  <c r="P106" i="5"/>
  <c r="P107" i="5"/>
  <c r="P115" i="5"/>
  <c r="H112" i="5"/>
  <c r="R107" i="5"/>
  <c r="R115" i="5"/>
  <c r="J61" i="5"/>
  <c r="J90" i="5"/>
  <c r="J91" i="5"/>
  <c r="J92" i="5"/>
  <c r="J69" i="5"/>
  <c r="P68" i="5"/>
  <c r="P81" i="5"/>
  <c r="P90" i="5"/>
  <c r="R92" i="5"/>
  <c r="R114" i="5"/>
  <c r="J70" i="5"/>
  <c r="J71" i="5"/>
  <c r="P91" i="5"/>
  <c r="P92" i="5"/>
  <c r="P114" i="5"/>
  <c r="P69" i="5"/>
  <c r="P70" i="5"/>
  <c r="P71" i="5"/>
  <c r="P113" i="5"/>
  <c r="R22" i="5"/>
  <c r="R28" i="5"/>
  <c r="L25" i="5"/>
  <c r="N25" i="5"/>
  <c r="L29" i="5"/>
  <c r="P26" i="5"/>
  <c r="H115" i="5"/>
  <c r="P117" i="5"/>
  <c r="J114" i="5"/>
  <c r="L114" i="5"/>
  <c r="N114" i="5"/>
  <c r="H114" i="5"/>
  <c r="R117" i="5"/>
  <c r="J113" i="5"/>
  <c r="H113" i="5"/>
  <c r="H117" i="5"/>
  <c r="L113" i="5"/>
  <c r="N113" i="5"/>
  <c r="I116" i="5"/>
  <c r="H16" i="5"/>
  <c r="H17" i="5"/>
  <c r="H18" i="5"/>
  <c r="I85" i="5"/>
  <c r="C36" i="16"/>
  <c r="C37" i="16"/>
  <c r="G22" i="10"/>
  <c r="G23" i="10"/>
  <c r="G24" i="10"/>
  <c r="C9" i="11"/>
  <c r="C10" i="11"/>
  <c r="G7" i="10"/>
  <c r="R26" i="5"/>
  <c r="L26" i="5"/>
  <c r="J29" i="5"/>
  <c r="K116" i="5"/>
  <c r="J16" i="5"/>
  <c r="J17" i="5"/>
  <c r="J18" i="5"/>
  <c r="K49" i="5"/>
  <c r="H26" i="5"/>
  <c r="H30" i="5"/>
  <c r="P29" i="5"/>
  <c r="J26" i="5"/>
  <c r="N14" i="5"/>
  <c r="N16" i="5"/>
  <c r="N26" i="5"/>
  <c r="N29" i="5"/>
  <c r="L24" i="5"/>
  <c r="N24" i="5"/>
  <c r="R24" i="5"/>
  <c r="P24" i="5"/>
  <c r="L36" i="5"/>
  <c r="J38" i="5"/>
  <c r="J123" i="5"/>
  <c r="R16" i="5"/>
  <c r="O116" i="5"/>
  <c r="L16" i="5"/>
  <c r="M116" i="5"/>
  <c r="I45" i="5"/>
  <c r="I66" i="5"/>
  <c r="I76" i="5"/>
  <c r="I100" i="5"/>
  <c r="I68" i="5"/>
  <c r="I96" i="5"/>
  <c r="I50" i="5"/>
  <c r="I87" i="5"/>
  <c r="I75" i="5"/>
  <c r="H121" i="5"/>
  <c r="I82" i="5"/>
  <c r="I83" i="5"/>
  <c r="I101" i="5"/>
  <c r="I78" i="5"/>
  <c r="I79" i="5"/>
  <c r="I52" i="5"/>
  <c r="I65" i="5"/>
  <c r="I99" i="5"/>
  <c r="I47" i="5"/>
  <c r="I49" i="5"/>
  <c r="I51" i="5"/>
  <c r="I80" i="5"/>
  <c r="I48" i="5"/>
  <c r="I84" i="5"/>
  <c r="I60" i="5"/>
  <c r="C52" i="11"/>
  <c r="G11" i="10"/>
  <c r="P15" i="5"/>
  <c r="P14" i="5"/>
  <c r="I57" i="5"/>
  <c r="I58" i="5"/>
  <c r="J30" i="5"/>
  <c r="J31" i="5"/>
  <c r="J32" i="5"/>
  <c r="J122" i="5"/>
  <c r="N117" i="5"/>
  <c r="L117" i="5"/>
  <c r="J117" i="5"/>
  <c r="I97" i="5"/>
  <c r="I46" i="5"/>
  <c r="I53" i="5"/>
  <c r="I111" i="5"/>
  <c r="K46" i="5"/>
  <c r="K101" i="5"/>
  <c r="K47" i="5"/>
  <c r="K98" i="5"/>
  <c r="K50" i="5"/>
  <c r="K60" i="5"/>
  <c r="K58" i="5"/>
  <c r="K79" i="5"/>
  <c r="K83" i="5"/>
  <c r="K97" i="5"/>
  <c r="K68" i="5"/>
  <c r="K52" i="5"/>
  <c r="K75" i="5"/>
  <c r="K76" i="5"/>
  <c r="K77" i="5"/>
  <c r="K78" i="5"/>
  <c r="K87" i="5"/>
  <c r="K99" i="5"/>
  <c r="K96" i="5"/>
  <c r="J121" i="5"/>
  <c r="K66" i="5"/>
  <c r="K80" i="5"/>
  <c r="K85" i="5"/>
  <c r="K88" i="5"/>
  <c r="P16" i="5"/>
  <c r="P17" i="5"/>
  <c r="P18" i="5"/>
  <c r="Q49" i="5"/>
  <c r="K100" i="5"/>
  <c r="K51" i="5"/>
  <c r="K65" i="5"/>
  <c r="I88" i="5"/>
  <c r="I89" i="5"/>
  <c r="I98" i="5"/>
  <c r="I103" i="5"/>
  <c r="R30" i="5"/>
  <c r="R31" i="5"/>
  <c r="R32" i="5"/>
  <c r="R122" i="5"/>
  <c r="K82" i="5"/>
  <c r="K84" i="5"/>
  <c r="K57" i="5"/>
  <c r="K48" i="5"/>
  <c r="K45" i="5"/>
  <c r="P30" i="5"/>
  <c r="P31" i="5"/>
  <c r="P32" i="5"/>
  <c r="P122" i="5"/>
  <c r="L38" i="5"/>
  <c r="L123" i="5"/>
  <c r="N36" i="5"/>
  <c r="N38" i="5"/>
  <c r="N123" i="5"/>
  <c r="R17" i="5"/>
  <c r="R18" i="5"/>
  <c r="N17" i="5"/>
  <c r="N18" i="5"/>
  <c r="N30" i="5"/>
  <c r="L30" i="5"/>
  <c r="L17" i="5"/>
  <c r="L18" i="5"/>
  <c r="I86" i="5"/>
  <c r="I77" i="5"/>
  <c r="I81" i="5"/>
  <c r="H31" i="5"/>
  <c r="H32" i="5"/>
  <c r="H122" i="5"/>
  <c r="I67" i="5"/>
  <c r="I69" i="5"/>
  <c r="K59" i="5"/>
  <c r="I59" i="5"/>
  <c r="I61" i="5"/>
  <c r="I112" i="5"/>
  <c r="K81" i="5"/>
  <c r="Q116" i="5"/>
  <c r="K61" i="5"/>
  <c r="K112" i="5"/>
  <c r="K67" i="5"/>
  <c r="K103" i="5"/>
  <c r="K104" i="5"/>
  <c r="K105" i="5"/>
  <c r="Q82" i="5"/>
  <c r="Q101" i="5"/>
  <c r="Q98" i="5"/>
  <c r="Q83" i="5"/>
  <c r="Q84" i="5"/>
  <c r="K53" i="5"/>
  <c r="K111" i="5"/>
  <c r="K86" i="5"/>
  <c r="K89" i="5"/>
  <c r="K90" i="5"/>
  <c r="P121" i="5"/>
  <c r="Q47" i="5"/>
  <c r="Q85" i="5"/>
  <c r="Q76" i="5"/>
  <c r="Q48" i="5"/>
  <c r="Q50" i="5"/>
  <c r="Q60" i="5"/>
  <c r="Q45" i="5"/>
  <c r="Q96" i="5"/>
  <c r="Q51" i="5"/>
  <c r="Q100" i="5"/>
  <c r="Q99" i="5"/>
  <c r="Q52" i="5"/>
  <c r="Q66" i="5"/>
  <c r="Q87" i="5"/>
  <c r="Q97" i="5"/>
  <c r="Q46" i="5"/>
  <c r="Q88" i="5"/>
  <c r="K69" i="5"/>
  <c r="Q57" i="5"/>
  <c r="Q68" i="5"/>
  <c r="Q80" i="5"/>
  <c r="Q58" i="5"/>
  <c r="Q78" i="5"/>
  <c r="Q79" i="5"/>
  <c r="Q75" i="5"/>
  <c r="Q65" i="5"/>
  <c r="Q67" i="5"/>
  <c r="S47" i="5"/>
  <c r="S76" i="5"/>
  <c r="S48" i="5"/>
  <c r="S83" i="5"/>
  <c r="S98" i="5"/>
  <c r="S49" i="5"/>
  <c r="S68" i="5"/>
  <c r="S106" i="5"/>
  <c r="S84" i="5"/>
  <c r="S99" i="5"/>
  <c r="S100" i="5"/>
  <c r="S79" i="5"/>
  <c r="S101" i="5"/>
  <c r="R121" i="5"/>
  <c r="S65" i="5"/>
  <c r="S80" i="5"/>
  <c r="S58" i="5"/>
  <c r="S50" i="5"/>
  <c r="S85" i="5"/>
  <c r="S116" i="5"/>
  <c r="S87" i="5"/>
  <c r="S96" i="5"/>
  <c r="S66" i="5"/>
  <c r="S51" i="5"/>
  <c r="S60" i="5"/>
  <c r="S78" i="5"/>
  <c r="S52" i="5"/>
  <c r="S91" i="5"/>
  <c r="S70" i="5"/>
  <c r="S57" i="5"/>
  <c r="S59" i="5"/>
  <c r="S88" i="5"/>
  <c r="S45" i="5"/>
  <c r="S75" i="5"/>
  <c r="S104" i="5"/>
  <c r="S46" i="5"/>
  <c r="S82" i="5"/>
  <c r="S97" i="5"/>
  <c r="O49" i="5"/>
  <c r="O68" i="5"/>
  <c r="O78" i="5"/>
  <c r="O96" i="5"/>
  <c r="O51" i="5"/>
  <c r="O79" i="5"/>
  <c r="O97" i="5"/>
  <c r="O52" i="5"/>
  <c r="O87" i="5"/>
  <c r="N121" i="5"/>
  <c r="O80" i="5"/>
  <c r="O101" i="5"/>
  <c r="O48" i="5"/>
  <c r="O84" i="5"/>
  <c r="O50" i="5"/>
  <c r="O85" i="5"/>
  <c r="O60" i="5"/>
  <c r="O98" i="5"/>
  <c r="O88" i="5"/>
  <c r="O65" i="5"/>
  <c r="O75" i="5"/>
  <c r="O99" i="5"/>
  <c r="O57" i="5"/>
  <c r="O82" i="5"/>
  <c r="O45" i="5"/>
  <c r="O66" i="5"/>
  <c r="O76" i="5"/>
  <c r="O100" i="5"/>
  <c r="O46" i="5"/>
  <c r="O58" i="5"/>
  <c r="O83" i="5"/>
  <c r="O47" i="5"/>
  <c r="N31" i="5"/>
  <c r="N32" i="5"/>
  <c r="N122" i="5"/>
  <c r="L31" i="5"/>
  <c r="L32" i="5"/>
  <c r="L122" i="5"/>
  <c r="M49" i="5"/>
  <c r="M68" i="5"/>
  <c r="M78" i="5"/>
  <c r="M96" i="5"/>
  <c r="M51" i="5"/>
  <c r="M97" i="5"/>
  <c r="L121" i="5"/>
  <c r="M80" i="5"/>
  <c r="M75" i="5"/>
  <c r="M99" i="5"/>
  <c r="M57" i="5"/>
  <c r="M58" i="5"/>
  <c r="M83" i="5"/>
  <c r="M101" i="5"/>
  <c r="M47" i="5"/>
  <c r="M50" i="5"/>
  <c r="M85" i="5"/>
  <c r="M60" i="5"/>
  <c r="M79" i="5"/>
  <c r="M52" i="5"/>
  <c r="M87" i="5"/>
  <c r="M98" i="5"/>
  <c r="M88" i="5"/>
  <c r="M65" i="5"/>
  <c r="M82" i="5"/>
  <c r="M76" i="5"/>
  <c r="M100" i="5"/>
  <c r="M46" i="5"/>
  <c r="M84" i="5"/>
  <c r="M66" i="5"/>
  <c r="M48" i="5"/>
  <c r="M45" i="5"/>
  <c r="I104" i="5"/>
  <c r="I105" i="5"/>
  <c r="I70" i="5"/>
  <c r="I71" i="5"/>
  <c r="I113" i="5"/>
  <c r="I90" i="5"/>
  <c r="Q86" i="5"/>
  <c r="Q77" i="5"/>
  <c r="Q81" i="5"/>
  <c r="Q53" i="5"/>
  <c r="Q111" i="5"/>
  <c r="O89" i="5"/>
  <c r="K91" i="5"/>
  <c r="K92" i="5"/>
  <c r="K114" i="5"/>
  <c r="Q103" i="5"/>
  <c r="Q59" i="5"/>
  <c r="Q61" i="5"/>
  <c r="Q112" i="5"/>
  <c r="Q89" i="5"/>
  <c r="Q90" i="5"/>
  <c r="Q91" i="5"/>
  <c r="Q92" i="5"/>
  <c r="Q114" i="5"/>
  <c r="K70" i="5"/>
  <c r="K71" i="5"/>
  <c r="K113" i="5"/>
  <c r="Q69" i="5"/>
  <c r="Q70" i="5"/>
  <c r="S86" i="5"/>
  <c r="S77" i="5"/>
  <c r="S89" i="5"/>
  <c r="M89" i="5"/>
  <c r="M77" i="5"/>
  <c r="M81" i="5"/>
  <c r="M53" i="5"/>
  <c r="M111" i="5"/>
  <c r="O67" i="5"/>
  <c r="O69" i="5"/>
  <c r="O86" i="5"/>
  <c r="O59" i="5"/>
  <c r="O61" i="5"/>
  <c r="O112" i="5"/>
  <c r="O77" i="5"/>
  <c r="O81" i="5"/>
  <c r="Q104" i="5"/>
  <c r="Q105" i="5"/>
  <c r="Q106" i="5"/>
  <c r="Q107" i="5"/>
  <c r="Q115" i="5"/>
  <c r="S103" i="5"/>
  <c r="S105" i="5"/>
  <c r="S107" i="5"/>
  <c r="S115" i="5"/>
  <c r="S53" i="5"/>
  <c r="S111" i="5"/>
  <c r="S81" i="5"/>
  <c r="S61" i="5"/>
  <c r="S112" i="5"/>
  <c r="S67" i="5"/>
  <c r="S69" i="5"/>
  <c r="S71" i="5"/>
  <c r="S113" i="5"/>
  <c r="O103" i="5"/>
  <c r="O53" i="5"/>
  <c r="O111" i="5"/>
  <c r="M103" i="5"/>
  <c r="M86" i="5"/>
  <c r="M67" i="5"/>
  <c r="M69" i="5"/>
  <c r="M59" i="5"/>
  <c r="M61" i="5"/>
  <c r="M112" i="5"/>
  <c r="K106" i="5"/>
  <c r="K107" i="5"/>
  <c r="K115" i="5"/>
  <c r="K117" i="5"/>
  <c r="J124" i="5"/>
  <c r="J126" i="5"/>
  <c r="J128" i="5"/>
  <c r="I106" i="5"/>
  <c r="I107" i="5"/>
  <c r="I115" i="5"/>
  <c r="I91" i="5"/>
  <c r="I92" i="5"/>
  <c r="I114" i="5"/>
  <c r="S90" i="5"/>
  <c r="S92" i="5"/>
  <c r="S114" i="5"/>
  <c r="O90" i="5"/>
  <c r="Q71" i="5"/>
  <c r="Q113" i="5"/>
  <c r="Q117" i="5"/>
  <c r="P124" i="5"/>
  <c r="P126" i="5"/>
  <c r="P128" i="5"/>
  <c r="O70" i="5"/>
  <c r="O71" i="5"/>
  <c r="O113" i="5"/>
  <c r="M90" i="5"/>
  <c r="M91" i="5"/>
  <c r="I117" i="5"/>
  <c r="H124" i="5"/>
  <c r="H126" i="5"/>
  <c r="H128" i="5"/>
  <c r="S117" i="5"/>
  <c r="R124" i="5"/>
  <c r="R126" i="5"/>
  <c r="R128" i="5"/>
  <c r="O104" i="5"/>
  <c r="O105" i="5"/>
  <c r="O91" i="5"/>
  <c r="O92" i="5"/>
  <c r="O114" i="5"/>
  <c r="M70" i="5"/>
  <c r="M71" i="5"/>
  <c r="M113" i="5"/>
  <c r="M104" i="5"/>
  <c r="M105" i="5"/>
  <c r="M92" i="5"/>
  <c r="M114" i="5"/>
  <c r="O106" i="5"/>
  <c r="O107" i="5"/>
  <c r="O115" i="5"/>
  <c r="O117" i="5"/>
  <c r="N124" i="5"/>
  <c r="N126" i="5"/>
  <c r="N128" i="5"/>
  <c r="M106" i="5"/>
  <c r="M107" i="5"/>
  <c r="M115" i="5"/>
  <c r="M117" i="5"/>
  <c r="L124" i="5"/>
  <c r="L126" i="5"/>
  <c r="L128" i="5"/>
  <c r="H129" i="5"/>
  <c r="G6" i="10"/>
  <c r="C60" i="11"/>
  <c r="C61" i="11"/>
  <c r="G12" i="10"/>
  <c r="G13" i="10"/>
  <c r="G14" i="10"/>
  <c r="G27" i="10"/>
  <c r="D5" i="8"/>
  <c r="F7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Cayo Cesar Rezende de Souza</author>
  </authors>
  <commentList>
    <comment ref="A1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COMPOSIÇÃO DE CUSTOS</t>
        </r>
        <r>
          <rPr>
            <sz val="9"/>
            <color indexed="81"/>
            <rFont val="Tahoma"/>
            <family val="2"/>
          </rPr>
          <t xml:space="preserve">
X</t>
        </r>
        <r>
          <rPr>
            <b/>
            <sz val="9"/>
            <color indexed="81"/>
            <rFont val="Tahoma"/>
            <family val="2"/>
          </rPr>
          <t xml:space="preserve">
PLANILHAS AUXILIARES</t>
        </r>
        <r>
          <rPr>
            <sz val="9"/>
            <color indexed="81"/>
            <rFont val="Tahoma"/>
            <family val="2"/>
          </rPr>
          <t xml:space="preserve">
X
</t>
        </r>
        <r>
          <rPr>
            <b/>
            <sz val="9"/>
            <color indexed="81"/>
            <rFont val="Tahoma"/>
            <family val="2"/>
          </rPr>
          <t>COMPOSIÇÃO DOS PREÇOS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Cayo Cesar Rezende de Souza</author>
    <author>ALESSANDRO CARDOSO DA SILVA</author>
    <author>Alessandro Cardoso Da Silva</author>
    <author>Divan</author>
    <author>Usuário do Windows</author>
  </authors>
  <commentList>
    <comment ref="B5" authorId="0" shapeId="0" xr:uid="{00000000-0006-0000-0300-000001000000}">
      <text>
        <r>
          <rPr>
            <sz val="9"/>
            <color indexed="81"/>
            <rFont val="Tahoma"/>
            <family val="2"/>
          </rPr>
          <t>a) Piso conforme convenção coletiva SINPEFEPAR para Professor de Ginástica
https://sinpefepar.com.br/wp-content/uploads/2025/06/CCT-SINDICLUBES-SINPEFEPAR-CLUBES-2025-2026.pdf
b) Piso Fisioterapeuta/Ergonomista conforme CCCT SINFITO 2024/2025 + 5,82% (IPCA)
http://www.sinfito.org.br/arquivos/convencoes/2024/Conven%C3%A7%C3%A3o%20Coletiva%20de%20Trabalho%202024-2025%20-%20Hospitais%20e%20Estabelecimentos%20de%20Servi%C3%A7os%20de%20Sa%C3%BAde%20do%20Paran%C3%A1.pdf</t>
        </r>
      </text>
    </comment>
    <comment ref="R6" authorId="1" shapeId="0" xr:uid="{AA587649-2016-4E61-BEDB-85291145DE1C}">
      <text>
        <r>
          <rPr>
            <sz val="11"/>
            <color theme="1"/>
            <rFont val="Calibri"/>
            <family val="2"/>
            <scheme val="minor"/>
          </rPr>
          <t xml:space="preserve">https://www.abergo.org.br/
Referência: https://www.abergo.org.br/_files/ugd/18ffee_75cf2b28ab03442189d69ac2da041bef.pdf
</t>
        </r>
      </text>
    </comment>
    <comment ref="B9" authorId="0" shapeId="0" xr:uid="{00000000-0006-0000-0300-000002000000}">
      <text>
        <r>
          <rPr>
            <sz val="9"/>
            <color indexed="81"/>
            <rFont val="Tahoma"/>
            <family val="2"/>
          </rPr>
          <t xml:space="preserve">Prev IPCA jun/25 a fev/26 = 5,0%
</t>
        </r>
      </text>
    </comment>
    <comment ref="B13" authorId="1" shapeId="0" xr:uid="{EF25A363-7748-43C2-BA3E-429A58CD7FC2}">
      <text>
        <r>
          <rPr>
            <b/>
            <sz val="9"/>
            <color indexed="81"/>
            <rFont val="Segoe UI"/>
            <family val="2"/>
          </rPr>
          <t>Base de Cálculo para regime mensalista conforme Parágrafo segundo da cláusula terceira da CCCT SINPEFEPAR: https://sinpefepar.com.br/wp-content/uploads/2025/06/CCT-SINDICLUBES-SINPEFEPAR-CLUBES-2025-2026.pdf</t>
        </r>
      </text>
    </comment>
    <comment ref="B14" authorId="2" shapeId="0" xr:uid="{54A30B99-97EF-4E93-ACBD-8C2ABE66D3FC}">
      <text>
        <r>
          <rPr>
            <sz val="9"/>
            <color indexed="81"/>
            <rFont val="Segoe UI"/>
            <family val="2"/>
          </rPr>
          <t>Adicional de 30% sobre o salário base 
para profissional  enquadrado como responsável técnico, nos termos do parágrafo terceiro, cláusula terceira da CCCT SINPEFEPAR</t>
        </r>
      </text>
    </comment>
    <comment ref="B15" authorId="2" shapeId="0" xr:uid="{D781AFEF-1975-427C-B127-49B560489D8E}">
      <text>
        <r>
          <rPr>
            <sz val="9"/>
            <color indexed="81"/>
            <rFont val="Segoe UI"/>
            <family val="2"/>
          </rPr>
          <t>Referência de mercado para líderes de equipe de 10 ou mais pessoas</t>
        </r>
      </text>
    </comment>
    <comment ref="B22" authorId="1" shapeId="0" xr:uid="{E0DA37F7-9901-4CD0-ABE2-CC9E2FF80939}">
      <text>
        <r>
          <rPr>
            <sz val="11"/>
            <color theme="1"/>
            <rFont val="Calibri"/>
            <family val="2"/>
            <scheme val="minor"/>
          </rPr>
          <t xml:space="preserve">Benchmarking contratada atual, considerando média de deslocamento entre residência/trabalho para média de 22 dias de prestação de serviços/mês
</t>
        </r>
      </text>
    </comment>
    <comment ref="B23" authorId="3" shapeId="0" xr:uid="{00000000-0006-0000-0300-000007000000}">
      <text>
        <r>
          <rPr>
            <sz val="9"/>
            <color indexed="81"/>
            <rFont val="Tahoma"/>
            <family val="2"/>
          </rPr>
          <t xml:space="preserve">Cláusula Social de Itaipu
</t>
        </r>
      </text>
    </comment>
    <comment ref="B24" authorId="3" shapeId="0" xr:uid="{00000000-0006-0000-0300-000008000000}">
      <text>
        <r>
          <rPr>
            <sz val="11"/>
            <color theme="1"/>
            <rFont val="Calibri"/>
            <family val="2"/>
            <scheme val="minor"/>
          </rPr>
          <t>SINPEFEPAR - Conforme cláusula décima terceira com valor mínimo de R$ 26,00 por dia trabalhado, considerada a média de 22 dias trabalhados no mês totalizando benefício mínimo de R$ 572,00 ao trabalhador;
Utilizada a mesma média para o benefício para o cargo de ergonomista visando isonomia entre os empregados prestadores de serviços no mesmo contrato.
* IPCA alimentos mai/25 a fev/26 previsão 5,8%
* considera reposição do profissional ausente por férias;</t>
        </r>
      </text>
    </comment>
    <comment ref="B25" authorId="3" shapeId="0" xr:uid="{00000000-0006-0000-0300-000009000000}">
      <text>
        <r>
          <rPr>
            <sz val="9"/>
            <color indexed="81"/>
            <rFont val="Tahoma"/>
            <family val="2"/>
          </rPr>
          <t>Cláusula Social: Exigência da Itaipu Binacional</t>
        </r>
      </text>
    </comment>
    <comment ref="B26" authorId="3" shapeId="0" xr:uid="{00000000-0006-0000-0300-00000A000000}">
      <text>
        <r>
          <rPr>
            <sz val="9"/>
            <color indexed="81"/>
            <rFont val="Tahoma"/>
            <family val="2"/>
          </rPr>
          <t>* convenção coletiva da categoria;</t>
        </r>
      </text>
    </comment>
    <comment ref="B28" authorId="0" shapeId="0" xr:uid="{00000000-0006-0000-0300-00000B000000}">
      <text>
        <r>
          <rPr>
            <sz val="9"/>
            <color indexed="81"/>
            <rFont val="Tahoma"/>
            <family val="2"/>
          </rPr>
          <t>Benchmarking contratada atual =  R$ 450 + prev reajuste 5,0%
*considera reposição de profissional ausente</t>
        </r>
      </text>
    </comment>
    <comment ref="B36" authorId="4" shapeId="0" xr:uid="{00000000-0006-0000-0300-00000D000000}">
      <text>
        <r>
          <rPr>
            <sz val="9"/>
            <color indexed="81"/>
            <rFont val="Tahoma"/>
            <family val="2"/>
          </rPr>
          <t>Agasalho completo com bordado no peito esquerdo  R$120,00 3  R$360,00 
Camiseta manga curta na cor bordado no peito esquerdo  R$40,00 5  R$200,00 
Total  R$ 560,00 
*considera resposição de profissional ausente</t>
        </r>
      </text>
    </comment>
    <comment ref="B45" authorId="3" shapeId="0" xr:uid="{00000000-0006-0000-0300-00000E000000}">
      <text>
        <r>
          <rPr>
            <sz val="9"/>
            <color indexed="81"/>
            <rFont val="Tahoma"/>
            <family val="2"/>
          </rPr>
          <t>* artigo 22, inciso I, lei n. 8.212 / 91;</t>
        </r>
      </text>
    </comment>
    <comment ref="B46" authorId="3" shapeId="0" xr:uid="{00000000-0006-0000-0300-00000F000000}">
      <text>
        <r>
          <rPr>
            <sz val="9"/>
            <color indexed="81"/>
            <rFont val="Tahoma"/>
            <family val="2"/>
          </rPr>
          <t>* artigo 1º, inciso I, decreto 1.007/93</t>
        </r>
      </text>
    </comment>
    <comment ref="B47" authorId="3" shapeId="0" xr:uid="{00000000-0006-0000-0300-000010000000}">
      <text>
        <r>
          <rPr>
            <sz val="9"/>
            <color indexed="81"/>
            <rFont val="Tahoma"/>
            <family val="2"/>
          </rPr>
          <t>* artigo 1º, inciso II, decreto 1.007/93</t>
        </r>
      </text>
    </comment>
    <comment ref="B48" authorId="3" shapeId="0" xr:uid="{00000000-0006-0000-0300-000011000000}">
      <text>
        <r>
          <rPr>
            <sz val="9"/>
            <color indexed="81"/>
            <rFont val="Tahoma"/>
            <family val="2"/>
          </rPr>
          <t>* artigo 1º, inciso I, item 2 do decreto lei n. 1.146 / 70;</t>
        </r>
      </text>
    </comment>
    <comment ref="B49" authorId="3" shapeId="0" xr:uid="{00000000-0006-0000-0300-000012000000}">
      <text>
        <r>
          <rPr>
            <sz val="9"/>
            <color indexed="81"/>
            <rFont val="Tahoma"/>
            <family val="2"/>
          </rPr>
          <t>* art. 15, lei n. 9.424 / 96; art. 2o. decreto n. 3.142 / 99; art. 212, § 5o., c. f. / 1988;</t>
        </r>
      </text>
    </comment>
    <comment ref="B50" authorId="3" shapeId="0" xr:uid="{00000000-0006-0000-0300-000013000000}">
      <text>
        <r>
          <rPr>
            <sz val="9"/>
            <color indexed="81"/>
            <rFont val="Tahoma"/>
            <family val="2"/>
          </rPr>
          <t xml:space="preserve">* lei complementar n. 110 / 2001;
comunicado CEF, publicado DOU n. 248 de 28/12/2003, seção 3,  pág. 90;
art. 7o., inc. III, constituição federal;
art. 15, lei n. 8.030 / 90;
</t>
        </r>
      </text>
    </comment>
    <comment ref="B51" authorId="3" shapeId="0" xr:uid="{00000000-0006-0000-0300-000014000000}">
      <text>
        <r>
          <rPr>
            <sz val="9"/>
            <color indexed="81"/>
            <rFont val="Tahoma"/>
            <family val="2"/>
          </rPr>
          <t>* art. 22, inc. II, alíneas a), b) e c), lei n. 8.212 / 91;</t>
        </r>
      </text>
    </comment>
    <comment ref="B52" authorId="3" shapeId="0" xr:uid="{00000000-0006-0000-0300-000015000000}">
      <text>
        <r>
          <rPr>
            <sz val="9"/>
            <color indexed="81"/>
            <rFont val="Tahoma"/>
            <family val="2"/>
          </rPr>
          <t>* lei n. 8.029 / 90;</t>
        </r>
      </text>
    </comment>
    <comment ref="B57" authorId="3" shapeId="0" xr:uid="{00000000-0006-0000-0300-000016000000}">
      <text>
        <r>
          <rPr>
            <sz val="9"/>
            <color indexed="81"/>
            <rFont val="Tahoma"/>
            <family val="2"/>
          </rPr>
          <t xml:space="preserve">* lei n. 4.090 de 13/07/1962;
---&gt; cáculo: 1/12x100 = 8,33%
</t>
        </r>
      </text>
    </comment>
    <comment ref="B58" authorId="3" shapeId="0" xr:uid="{00000000-0006-0000-0300-000017000000}">
      <text>
        <r>
          <rPr>
            <sz val="9"/>
            <color indexed="81"/>
            <rFont val="Tahoma"/>
            <family val="2"/>
          </rPr>
          <t>* art. 7o., inc. XVII, c. f. / 1988;
---&gt; cálculo: 1/3/12x100 = 2,78%</t>
        </r>
      </text>
    </comment>
    <comment ref="B65" authorId="3" shapeId="0" xr:uid="{00000000-0006-0000-0300-000018000000}">
      <text>
        <r>
          <rPr>
            <sz val="9"/>
            <color indexed="81"/>
            <rFont val="Tahoma"/>
            <family val="2"/>
          </rPr>
          <t>* o salário referente ao período de licença maternidade é coberto pela previdência social, inclusive a gratificação natalina respectiva, de modo que o salário do substituto e o décimo terceiro respectivo já consta na planilha de encargos sociais; contudo, a previdência social não cobre a remuneração de férias proporcional ao período da licença maternidade, de modo que a planilha acaba não cobrindo as férias do substituto; para resolver tal situação, deve-se incluir sub grupo no grupo IV, para cotar as férias sobre licença maternidade;
---&gt; cálculo: 11,11% (custo sobre os salários das férias integrais dos trabalhadores) x 1,95% (percentual estatístico adotado como de empregadas que se afastam por licença maternidade) x 4 meses ao ano (período em um ano que se referem as férias proporcionais ora calculadas), ou seja, [(0,1111 x 0,0195 x 0,3333) x 100] = [0,0007 x 100] = 0,07%;</t>
        </r>
      </text>
    </comment>
    <comment ref="B66" authorId="3" shapeId="0" xr:uid="{00000000-0006-0000-0300-000019000000}">
      <text>
        <r>
          <rPr>
            <sz val="9"/>
            <color indexed="81"/>
            <rFont val="Tahoma"/>
            <family val="2"/>
          </rPr>
          <t>* lei n. 11.770 de 09/09/2008;
---&gt; cálculo: 11,11% (custo sobre os salários das férias integrais dos trabalhadores) x 1,95% (percentual estatístico adotado como de empregadas que se afastam por licença maternidade) x 2 meses ao ano (período em um ano que se refere a prorrogação ora calculada), ou seja, [(0,1111 x 0,0195 x 0,1667) x 100] = [0,0007 x 100] = 0,07%;</t>
        </r>
      </text>
    </comment>
    <comment ref="B75" authorId="3" shapeId="0" xr:uid="{00000000-0006-0000-0300-00001A000000}">
      <text>
        <r>
          <rPr>
            <sz val="9"/>
            <color indexed="81"/>
            <rFont val="Tahoma"/>
            <family val="2"/>
          </rPr>
          <t>* art.'s 7º, inc. XXI, c. f. / 1988 e 477, 487 ~ 491, c. l. t.;
---&gt; dado estatístico: considera-se que 5% dos empregados são substituídos durante o ano ("turnover");
---&gt; cálculo: {[0,05 x (1 / 12)] x 100} = {[0,05 x 0,0833] x 100} = {0,0041 x 100} = 0,41%;</t>
        </r>
      </text>
    </comment>
    <comment ref="B76" authorId="3" shapeId="0" xr:uid="{00000000-0006-0000-0300-00001B000000}">
      <text>
        <r>
          <rPr>
            <sz val="9"/>
            <color indexed="81"/>
            <rFont val="Tahoma"/>
            <family val="2"/>
          </rPr>
          <t>* art. 9º, lei n. 7.238 / 84;
---&gt; dado estatístico: considera-se que 2% dos empregados são demitidos na situação em que devem receber indenização adicional;
---&gt; cálculo: [0,02 x (1 / 12)] x 100 = [0,02 x 0,08333] x 100 = 0,001666 x 100 = 0,1666 = 0,17%;</t>
        </r>
      </text>
    </comment>
    <comment ref="B78" authorId="3" shapeId="0" xr:uid="{00000000-0006-0000-0300-00001C000000}">
      <text>
        <r>
          <rPr>
            <sz val="9"/>
            <color indexed="81"/>
            <rFont val="Tahoma"/>
            <family val="2"/>
          </rPr>
          <t>* fundamentação legal: súmula n. 305, tst; instrução normativa n. 25 / 2001, tem e acórdão n. 2.217 / 2010 - plenário (apêndice pág. 52), jurisprudência tcu;</t>
        </r>
      </text>
    </comment>
    <comment ref="B79" authorId="3" shapeId="0" xr:uid="{00000000-0006-0000-0300-00001D000000}">
      <text>
        <r>
          <rPr>
            <sz val="9"/>
            <color indexed="81"/>
            <rFont val="Tahoma"/>
            <family val="2"/>
          </rPr>
          <t>* fundamentação legal: art. 18, § 1o., lei n. 8.036, de 11 de maio de 1990, com redação dada pela lei nº 9.491, de 9 de setembro de 1997;
---&gt; cálculo: o sub total do aviso prévio com indenização é acrescido pela multa do fgts indenizado (40%), a qual incide sobre a alíquota do fgts (8%), aplicada sobre a adição do custo de referência para o aviso prévio indenizado com a indenização adicional;</t>
        </r>
      </text>
    </comment>
    <comment ref="B80" authorId="3" shapeId="0" xr:uid="{00000000-0006-0000-0300-00001E000000}">
      <text>
        <r>
          <rPr>
            <sz val="9"/>
            <color indexed="81"/>
            <rFont val="Tahoma"/>
            <family val="2"/>
          </rPr>
          <t xml:space="preserve">* fundamentação legal: art. 1o., lei complementar n. 110, de 29 de junho de 2001;
---&gt; cálculo: o sub total do aviso prévio com indenização é acrescido pela contribuição social do fgts indenizado (10%), a qual incide sobre a alíquota do fgts (8%), aplicada sobre a adição do custo de referência para o aviso prévio indenizado com a indenização adicional;
</t>
        </r>
      </text>
    </comment>
    <comment ref="B82" authorId="3" shapeId="0" xr:uid="{00000000-0006-0000-0300-00001F000000}">
      <text>
        <r>
          <rPr>
            <sz val="9"/>
            <color indexed="81"/>
            <rFont val="Tahoma"/>
            <family val="2"/>
          </rPr>
          <t>* art's 7º, XXI, CF/88 e 477, 487 ~ 491, CLT;
---&gt; há uma redução da jornada de trabalho em duas horas por dia ou em sete dias, ao longo do período de aviso prévio;
---&gt; cálculo: {[(7/ 30) / 12] x 100} = {[0,2333 / 12] x 100} = {0,0194 x 100} = 1,94%.</t>
        </r>
      </text>
    </comment>
    <comment ref="B84" authorId="3" shapeId="0" xr:uid="{00000000-0006-0000-0300-000020000000}">
      <text>
        <r>
          <rPr>
            <sz val="9"/>
            <color indexed="81"/>
            <rFont val="Tahoma"/>
            <family val="2"/>
          </rPr>
          <t>* fundamentação legal: art. 18, § 1o., lei n. 8.036, de 11 de maio de 1990, com redação dada pela lei nº 9.491, de 9 de setembro de 1997;
---&gt; cálculo: percentual da multa do fgts trabalhado (40%), que incide sobre a alíquota do fgts (8%), aplicado sobre o custo de referência do aviso prévio trabalhado;</t>
        </r>
      </text>
    </comment>
    <comment ref="B85" authorId="3" shapeId="0" xr:uid="{00000000-0006-0000-0300-000021000000}">
      <text>
        <r>
          <rPr>
            <sz val="9"/>
            <color indexed="81"/>
            <rFont val="Tahoma"/>
            <family val="2"/>
          </rPr>
          <t>* fundamentação legal: art. 18, § 1o., lei n. 8.036, de 11 de maio de 1990, com redação dada pela lei nº 9.491, de 9 de setembro de 1997;
---&gt; cálculo: percentual da contribuição social sobre fgts (10%), que incide sobre a alíquota do fgts (8%), aplicado sobre o custo de referência do aviso prévio trabalhado;</t>
        </r>
      </text>
    </comment>
    <comment ref="B87" authorId="3" shapeId="0" xr:uid="{00000000-0006-0000-0300-000022000000}">
      <text>
        <r>
          <rPr>
            <sz val="9"/>
            <color indexed="81"/>
            <rFont val="Tahoma"/>
            <family val="2"/>
          </rPr>
          <t xml:space="preserve">* indenização (rescisão sem justa causa);
---&gt; leis n.'s 8.036 / 90 e 9.491 / 97; ainda lei complementar n. 110 / 01;
---&gt; considerando que todos os trabalhadores (100%) serão demitidos sem justa causa ao término do contrato, deve-se aplicar a multa de 40% sobre o montante dos depósitos mensais do fgts (8%);
</t>
        </r>
        <r>
          <rPr>
            <strike/>
            <sz val="9"/>
            <color indexed="81"/>
            <rFont val="Tahoma"/>
            <family val="2"/>
          </rPr>
          <t>---&gt; cálculo: 100/100 x 40/100 x 8/100 x 100 = 3,20%;</t>
        </r>
        <r>
          <rPr>
            <sz val="9"/>
            <color indexed="81"/>
            <rFont val="Tahoma"/>
            <family val="2"/>
          </rPr>
          <t xml:space="preserve">
---&gt; 5% benchmarking Nordeste e Iguassu Serv</t>
        </r>
      </text>
    </comment>
    <comment ref="B88" authorId="3" shapeId="0" xr:uid="{00000000-0006-0000-0300-000023000000}">
      <text>
        <r>
          <rPr>
            <sz val="9"/>
            <color indexed="81"/>
            <rFont val="Tahoma"/>
            <family val="2"/>
          </rPr>
          <t>* indenização (rescisão sem justa causa);
---&gt; leis n.'s 8.036 / 90 e 9.491 / 97; ainda lei complementar n. 110 / 01;
---&gt; considerando que todos os trabalhadores (100%) serão demitidos sem justa causa ao término do contrato, deve-se recolher a contribuição social de 10% sobre o montante dos depósitos mensais do fgts (8%);
---&gt; cálculo: 100/100 x 10/100 x 8/100 x 100 = 0,80%;</t>
        </r>
      </text>
    </comment>
    <comment ref="B96" authorId="3" shapeId="0" xr:uid="{00000000-0006-0000-0300-000024000000}">
      <text>
        <r>
          <rPr>
            <sz val="9"/>
            <color indexed="81"/>
            <rFont val="Tahoma"/>
            <family val="2"/>
          </rPr>
          <t>* art's. 129 e 130, inc. I, decreto lei n. 5.452 / 43 - CLT -, de 01/05/1943;
---&gt; cáculo: 1/12x100 = 8,33%;</t>
        </r>
      </text>
    </comment>
    <comment ref="B97" authorId="3" shapeId="0" xr:uid="{00000000-0006-0000-0300-000025000000}">
      <text>
        <r>
          <rPr>
            <sz val="9"/>
            <color indexed="81"/>
            <rFont val="Tahoma"/>
            <family val="2"/>
          </rPr>
          <t>* fundamentação legal: art. 131, inc. III, CLT;
---&gt; dado estatístico ibge: em média, cada trabalhador origina 5 (cinco) faltas justificadas anuais, motivadas por algum tipo de doença; ---&gt; cálculo: 5/30/12x100 = 1,39%;</t>
        </r>
      </text>
    </comment>
    <comment ref="B98" authorId="3" shapeId="0" xr:uid="{00000000-0006-0000-0300-000026000000}">
      <text>
        <r>
          <rPr>
            <sz val="9"/>
            <color indexed="81"/>
            <rFont val="Tahoma"/>
            <family val="2"/>
          </rPr>
          <t>* fundamentação legal: art. 7o., inc. XIX, c. f. / 1988 e - art. 10, § 1º, adct;
dado estatístico ibge: nascem filhos de 1,5% dos trabalhadores no período de um ano;
cálculo: 5/30/12*1,5/100x100 = 0,02%;</t>
        </r>
      </text>
    </comment>
    <comment ref="B99" authorId="3" shapeId="0" xr:uid="{00000000-0006-0000-0300-000027000000}">
      <text>
        <r>
          <rPr>
            <sz val="9"/>
            <color indexed="81"/>
            <rFont val="Tahoma"/>
            <family val="2"/>
          </rPr>
          <t xml:space="preserve">* fundamentação legal: art. 473, CLT;
---&gt; incidências: morte de cônjuge, ascendente, descendente ou casamento ou nascimento de filho ou doação de sangue ou alistamento eleitoral ou serviço militar ou comparecimento a juízo ou realização de vestibular;
---&gt; dado estatístico ibge: cada empregado falta 1 (um) dia por ano, a esse título;
---&gt; cálculo: {[(1÷30)÷12]x100} = {[0,0333÷12]x100} = {0,0028x100} = 0,28% </t>
        </r>
      </text>
    </comment>
    <comment ref="B100" authorId="3" shapeId="0" xr:uid="{00000000-0006-0000-0300-000028000000}">
      <text>
        <r>
          <rPr>
            <sz val="9"/>
            <color indexed="81"/>
            <rFont val="Tahoma"/>
            <family val="2"/>
          </rPr>
          <t>* fundamentação legal: art. 131, c. l. t.; art. 27, decreto n. 89.312 de 23/01/1984; art's. 19 ~ 23, lei n. 8.213/91;
---&gt; dado estatístico ibge: 8% (oito por cento) dos empregados se acidentam no ano;
---&gt; cálculo: ((15/30) / 12 x 0,08 x 100 = 0,33%</t>
        </r>
      </text>
    </comment>
    <comment ref="B101" authorId="3" shapeId="0" xr:uid="{00000000-0006-0000-0300-000029000000}">
      <text>
        <r>
          <rPr>
            <sz val="9"/>
            <color indexed="81"/>
            <rFont val="Tahoma"/>
            <family val="2"/>
          </rPr>
          <t>---&gt; cálculo: custo do treinamento ÷ número de pessoas treinadas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Alessandro Cardoso Da Silva</author>
  </authors>
  <commentList>
    <comment ref="D22" authorId="0" shapeId="0" xr:uid="{A0EF28CD-636E-4392-9580-9E630B00D914}">
      <text>
        <r>
          <rPr>
            <b/>
            <sz val="9"/>
            <color indexed="81"/>
            <rFont val="Segoe UI"/>
            <family val="2"/>
          </rPr>
          <t>Alessandro Cardoso Da Silva:</t>
        </r>
        <r>
          <rPr>
            <sz val="9"/>
            <color indexed="81"/>
            <rFont val="Segoe UI"/>
            <family val="2"/>
          </rPr>
          <t xml:space="preserve">
https://nextfit.com.br/sistema-para-academia/
</t>
        </r>
      </text>
    </comment>
  </commentList>
</comments>
</file>

<file path=xl/sharedStrings.xml><?xml version="1.0" encoding="utf-8"?>
<sst xmlns="http://schemas.openxmlformats.org/spreadsheetml/2006/main" count="487" uniqueCount="222">
  <si>
    <t>PLANILHA DE PREÇOS (12 MESES)</t>
  </si>
  <si>
    <t>Serviços de Atividades Físicas, Ginástica Laboral, Ergonomia e Qualidade de Vida</t>
  </si>
  <si>
    <t>Tipo de atendimento</t>
  </si>
  <si>
    <t>Item</t>
  </si>
  <si>
    <t>Preço Unitário (RS)</t>
  </si>
  <si>
    <t>Quantidade Estimada</t>
  </si>
  <si>
    <t>Preço Total
(R$)</t>
  </si>
  <si>
    <t>Contínuo</t>
  </si>
  <si>
    <t>Mensalidade</t>
  </si>
  <si>
    <t>Esporádico</t>
  </si>
  <si>
    <t>PREÇO TOTAL GERAL</t>
  </si>
  <si>
    <t>NOTAS:</t>
  </si>
  <si>
    <t>PLANILHA AUXILIAR DE COMPOSIÇÃO DOS PREÇOS</t>
  </si>
  <si>
    <t>Serviços de Atividades Físicas, Ginástica Laboral e Ergonomia</t>
  </si>
  <si>
    <r>
      <t xml:space="preserve">Mensalidade </t>
    </r>
    <r>
      <rPr>
        <sz val="9"/>
        <color theme="1" tint="0.249977111117893"/>
        <rFont val="Trebuchet MS"/>
        <family val="2"/>
      </rPr>
      <t>(custos fixos)</t>
    </r>
  </si>
  <si>
    <t>Valor</t>
  </si>
  <si>
    <t>custo com pessoal</t>
  </si>
  <si>
    <t>custo com documentação e seguros dos veículos</t>
  </si>
  <si>
    <t>custos administrativos</t>
  </si>
  <si>
    <t>custos sistema de gestão de academia</t>
  </si>
  <si>
    <t>depreciação de capital</t>
  </si>
  <si>
    <t>remuneração de capital</t>
  </si>
  <si>
    <t>outros (custos, encargos, lucro, etc.)</t>
  </si>
  <si>
    <t>Total contrato</t>
  </si>
  <si>
    <t>Total mensal (A)</t>
  </si>
  <si>
    <t>combustíveis</t>
  </si>
  <si>
    <t>óleos lubrificantes</t>
  </si>
  <si>
    <t>rodagems</t>
  </si>
  <si>
    <t>manutenção</t>
  </si>
  <si>
    <t>lavagem e lubrificação</t>
  </si>
  <si>
    <t>Total mensal por veículo (B)</t>
  </si>
  <si>
    <t>Valor do contrato</t>
  </si>
  <si>
    <t>MÃO DE OBRA VINCULADA À EXECUÇÃO CONTRATUAL</t>
  </si>
  <si>
    <t>Rubrica</t>
  </si>
  <si>
    <t>Professor de Ginástica 20h semanais</t>
  </si>
  <si>
    <t>Professor de Ginástica 30h semanais</t>
  </si>
  <si>
    <t>Professor de Ginástica 40h semanais</t>
  </si>
  <si>
    <t>Professor de Ginástica Função: Apoio ao Reviver/Responsável Técnico 40h semanais</t>
  </si>
  <si>
    <t>Ergonomista 40h semanais</t>
  </si>
  <si>
    <t>indicações</t>
  </si>
  <si>
    <t>referência</t>
  </si>
  <si>
    <t>salário normativo da categoria profissional (base maio / 2025)</t>
  </si>
  <si>
    <t>entidade sindical profissional da categoria diferenciada</t>
  </si>
  <si>
    <t>NÃO HÁ CCT ESPECÍFICA PARA O CARGO DE ERGONOMISTA. FOI UTILIZADO ESTUDO TÉCNICO DA ABERGO - ASSOCIAÇÃO BRASILEIRA DE ERGONOMIA</t>
  </si>
  <si>
    <t>data base da categoria (dia / mês / ano)</t>
  </si>
  <si>
    <t>%</t>
  </si>
  <si>
    <t>valor (R$)</t>
  </si>
  <si>
    <t>previsão de reajuste</t>
  </si>
  <si>
    <t>I</t>
  </si>
  <si>
    <t>grupo I</t>
  </si>
  <si>
    <t>composição da remuneração</t>
  </si>
  <si>
    <t>A</t>
  </si>
  <si>
    <t>salário base + DSR</t>
  </si>
  <si>
    <t>B</t>
  </si>
  <si>
    <t>Adicional Responsável Técnico (30%)</t>
  </si>
  <si>
    <t>N/A</t>
  </si>
  <si>
    <t>c</t>
  </si>
  <si>
    <t>Gratificação função coordenador de equipe (10%)</t>
  </si>
  <si>
    <t>-</t>
  </si>
  <si>
    <t>sub total</t>
  </si>
  <si>
    <t>D</t>
  </si>
  <si>
    <t>reserva técnica direta</t>
  </si>
  <si>
    <t>total</t>
  </si>
  <si>
    <t>II</t>
  </si>
  <si>
    <t>grupo II</t>
  </si>
  <si>
    <t>benefícios mensais e diários</t>
  </si>
  <si>
    <t>ajuda de custo transporte</t>
  </si>
  <si>
    <t>C</t>
  </si>
  <si>
    <t>vale alimentação/refeição</t>
  </si>
  <si>
    <t>Gratificação Natalina = Salário mínimo vigente</t>
  </si>
  <si>
    <t>E</t>
  </si>
  <si>
    <t>fundo de formação profissional = 50% * 1 dia salário por ano</t>
  </si>
  <si>
    <t>F</t>
  </si>
  <si>
    <t>salário família filho inválido</t>
  </si>
  <si>
    <t>G</t>
  </si>
  <si>
    <t>plano de saúde - categoria ambulatorial (exigência contratual) *13/12</t>
  </si>
  <si>
    <t>H</t>
  </si>
  <si>
    <t>seguro de vida (exigência contratual); valor de 12 salários base por empregado por ano</t>
  </si>
  <si>
    <t>III</t>
  </si>
  <si>
    <t>grupo III</t>
  </si>
  <si>
    <t>insumos diversos</t>
  </si>
  <si>
    <t>uniforme ou epi (quantidade de peças de acordo com exigência contratual)</t>
  </si>
  <si>
    <t>outros (detalhar)</t>
  </si>
  <si>
    <t>IV</t>
  </si>
  <si>
    <t>grupo IV</t>
  </si>
  <si>
    <t>encargos trabalhistas, sociais e econômicos</t>
  </si>
  <si>
    <t>IV.1</t>
  </si>
  <si>
    <t>sub grupo IV.1</t>
  </si>
  <si>
    <t>obrigações previdenciárias e fgts</t>
  </si>
  <si>
    <t>inss</t>
  </si>
  <si>
    <t>sest ou sesi ou sesc</t>
  </si>
  <si>
    <t>senat ou senai ou senac</t>
  </si>
  <si>
    <t>incra</t>
  </si>
  <si>
    <t>salário educação</t>
  </si>
  <si>
    <t>fgts</t>
  </si>
  <si>
    <t>seguro acidente de trabalho (rat = 1% e fap = 0,5)</t>
  </si>
  <si>
    <t>sebrae</t>
  </si>
  <si>
    <t>IV.2</t>
  </si>
  <si>
    <t>sub grupo IV.2</t>
  </si>
  <si>
    <t>13o. salário e abono de férias</t>
  </si>
  <si>
    <t>gratificação de natal</t>
  </si>
  <si>
    <t>acréscimo nas férias</t>
  </si>
  <si>
    <t>incidência sub grupo IV.1 sobre sub grupo IV.2</t>
  </si>
  <si>
    <t>IV.3</t>
  </si>
  <si>
    <t>sub grupo IV.3</t>
  </si>
  <si>
    <t>Fisioterapeuta/ Ergonomista 30h semanais</t>
  </si>
  <si>
    <t>licença maternidade</t>
  </si>
  <si>
    <t>férias em relação ao afastamento maternidade</t>
  </si>
  <si>
    <t>férias em relação à prorrogação licença maternidade (programa empresa cidadã)</t>
  </si>
  <si>
    <t>sub total 1</t>
  </si>
  <si>
    <t>incidência sub grupo IV.1 sobre sub grupo IV.3</t>
  </si>
  <si>
    <t>sub total 2</t>
  </si>
  <si>
    <t>reserva técnica relativa</t>
  </si>
  <si>
    <t>IV.4</t>
  </si>
  <si>
    <t>sub grupo IV.4</t>
  </si>
  <si>
    <t>provisão para rescisão</t>
  </si>
  <si>
    <t>aviso prévio indenizado</t>
  </si>
  <si>
    <t>indenização adicional dispensa trintídio anterior data base categoria</t>
  </si>
  <si>
    <t>incidência fgts sobre aviso prévio com indenização</t>
  </si>
  <si>
    <t>multa fgts do aviso prévio com indenização</t>
  </si>
  <si>
    <t>contribuição social fgts do aviso prévio com indenização</t>
  </si>
  <si>
    <t>sub total acumulado 1</t>
  </si>
  <si>
    <t>aviso prévio trabalhado</t>
  </si>
  <si>
    <t xml:space="preserve">incidência do sub grupo IV.1 sobre aviso prévio trabalhado  </t>
  </si>
  <si>
    <t>multa fgts do aviso prévio trabalhado</t>
  </si>
  <si>
    <t>contribuição social fgts do aviso prévio trabalhado</t>
  </si>
  <si>
    <t>J</t>
  </si>
  <si>
    <t>depósito fgts por rescisão sem justa causa</t>
  </si>
  <si>
    <t>K</t>
  </si>
  <si>
    <t>contribuição social fgts por rescisão sem justa causa</t>
  </si>
  <si>
    <t>sub total 3</t>
  </si>
  <si>
    <t>sub total acumulado 2</t>
  </si>
  <si>
    <t>L</t>
  </si>
  <si>
    <t>IV.5</t>
  </si>
  <si>
    <t>sub grupo IV.5</t>
  </si>
  <si>
    <t>reposição profissional ausente</t>
  </si>
  <si>
    <t>férias</t>
  </si>
  <si>
    <t>afastamento por doença</t>
  </si>
  <si>
    <t>licença paternidade</t>
  </si>
  <si>
    <t>faltas legais</t>
  </si>
  <si>
    <t>acidente do trabalho</t>
  </si>
  <si>
    <t>treinamento</t>
  </si>
  <si>
    <t>incidência sub grupo IV.1 sobre sub grupo IV.5</t>
  </si>
  <si>
    <t>resumo</t>
  </si>
  <si>
    <t>IV.6</t>
  </si>
  <si>
    <t>outros (reflexo dos ceneficios para substituições)</t>
  </si>
  <si>
    <t>CUSTO POR EMPREGADO</t>
  </si>
  <si>
    <t>Grupo</t>
  </si>
  <si>
    <t>V</t>
  </si>
  <si>
    <t>CUSTO TOTAL - CONSIDERA: 02 PROFESSORES GINÁSTICA 20H, 03 PROFESSORES GINÁSTICA 30H, 09 PROFESSORES DE GINÁSTICA 40H, 
01 APOIO REVIVER/RESPONSÁVEL TÉCNICO 40H , 01 COORDENADOR DE EQUIPE 40H E 01 ERGONOMISTA 40H SEMANAIS. O CUSTO TOTAL PREVÊ A REPOSIÇÃO IMEDIATA DE PROFISSIONAL AUSENTE.</t>
  </si>
  <si>
    <t>Custo Total com Mão de Obra para 12 meses de contrato</t>
  </si>
  <si>
    <t>IPVA</t>
  </si>
  <si>
    <t>Licenciamento</t>
  </si>
  <si>
    <t>benchmarking pesquisa de mercado</t>
  </si>
  <si>
    <t>DPVAT</t>
  </si>
  <si>
    <t>Seguro facultativo / veic / ano</t>
  </si>
  <si>
    <t>Total (ano)</t>
  </si>
  <si>
    <t>Total por veículo no contrato (12 meses)</t>
  </si>
  <si>
    <t>Ambulância 24h</t>
  </si>
  <si>
    <t>Veículos para deslocamento de profissionais</t>
  </si>
  <si>
    <t>previsto uso de 7 veículos para atendimento dos deslocamentos</t>
  </si>
  <si>
    <t>custo com deslocamento indireto</t>
  </si>
  <si>
    <t>Deslocamento estimado em km / dia / veiculo</t>
  </si>
  <si>
    <t>dias / ano</t>
  </si>
  <si>
    <t>deslocamento estimado / ano</t>
  </si>
  <si>
    <t>deslocamento estimado / veiculo</t>
  </si>
  <si>
    <t>Custo unitario km rodado (descontado lucro)</t>
  </si>
  <si>
    <t>Custo do deslocamento indireto no contrato / veiculo</t>
  </si>
  <si>
    <t>custo com sistemas de gestão de academias</t>
  </si>
  <si>
    <t>Referências Nextfit, Sys Academia, Cloudgym entre outros</t>
  </si>
  <si>
    <t>Custo de implantação</t>
  </si>
  <si>
    <t>Total no primeiro ano do contrato</t>
  </si>
  <si>
    <t>Custo total no contrato</t>
  </si>
  <si>
    <t>Despesas administrativas</t>
  </si>
  <si>
    <r>
      <t xml:space="preserve">benchmarking pesquisa de mercado </t>
    </r>
    <r>
      <rPr>
        <i/>
        <sz val="10"/>
        <color rgb="FFFF0000"/>
        <rFont val="Trebuchet MS"/>
        <family val="2"/>
      </rPr>
      <t>( equiv. 4,8% do custo total)</t>
    </r>
    <r>
      <rPr>
        <i/>
        <sz val="10"/>
        <color theme="1"/>
        <rFont val="Trebuchet MS"/>
        <family val="2"/>
      </rPr>
      <t xml:space="preserve">. De acordo com metodologia para planilhas de composição de custos </t>
    </r>
    <r>
      <rPr>
        <i/>
        <sz val="10"/>
        <color rgb="FFFF0000"/>
        <rFont val="Trebuchet MS"/>
        <family val="2"/>
      </rPr>
      <t>é comum utilizar 5%.</t>
    </r>
  </si>
  <si>
    <t>Reajuste estimado de 5%</t>
  </si>
  <si>
    <t>Meses</t>
  </si>
  <si>
    <t>Total por veículo</t>
  </si>
  <si>
    <t>Valor dos veículos utilizados no deslocamento de empregados</t>
  </si>
  <si>
    <t>Veículo passeio com idade média de até 05 anos</t>
  </si>
  <si>
    <t>Benchmarking contratada atual</t>
  </si>
  <si>
    <t xml:space="preserve">Valor total de capital imobilizado </t>
  </si>
  <si>
    <t>Taxa de depreciação (12 meses)</t>
  </si>
  <si>
    <t>Depreciação do capital em 12 meses</t>
  </si>
  <si>
    <t>Consulta tabela FIPE + média depreciação contábil</t>
  </si>
  <si>
    <t>Total Contrato</t>
  </si>
  <si>
    <t>Valor do veículo utilizado no deslocamento de empregados</t>
  </si>
  <si>
    <t>Taxa de remuneração de capital (anual)</t>
  </si>
  <si>
    <t>Média entre Taxa Selic e propostas das atuais contratadas</t>
  </si>
  <si>
    <t>Remuneração do capital por veículo (anual)</t>
  </si>
  <si>
    <t>outros (custos, encargos, lucros, etc.)</t>
  </si>
  <si>
    <t>Alíquota ISSQN</t>
  </si>
  <si>
    <t>Lei Complementar 30/2022 Foz do Iguaçu</t>
  </si>
  <si>
    <t>Margem de lucro</t>
  </si>
  <si>
    <t>Outros tributos</t>
  </si>
  <si>
    <t>margem reserva para IR, PIS-COFINS, CSLL, etc.</t>
  </si>
  <si>
    <t>Subtotal "A" custos fixos</t>
  </si>
  <si>
    <t>calculado por dentro</t>
  </si>
  <si>
    <t>Custo com combustível por km rodado</t>
  </si>
  <si>
    <t>PBE Inmetro (eficiência energética), calculado sobre o preço  médio do Etanol em 05/02/2024. Veículo ref. Passeio 1.0 com média de 9km/litro de etanol</t>
  </si>
  <si>
    <t>Reajuste estimado de 3%</t>
  </si>
  <si>
    <t>Quilometragem estimada</t>
  </si>
  <si>
    <t>Total</t>
  </si>
  <si>
    <t>Custo com lubrificantes por km rodado</t>
  </si>
  <si>
    <t>benchmarking tabela de revisões de veículo de passeio 1.0 ano 2020 ou superior</t>
  </si>
  <si>
    <t>rodagem</t>
  </si>
  <si>
    <t>Custo com rodagem por km rodado</t>
  </si>
  <si>
    <t>Custo com manutenção por km rodado</t>
  </si>
  <si>
    <t>Custo com lavagem/lubrific. por km rodado</t>
  </si>
  <si>
    <t>Subtotal "A" custos variáveis</t>
  </si>
  <si>
    <t>Professor de Ginástica Função: Coordenador de equipe 40h semanais</t>
  </si>
  <si>
    <t>Valor dos kits de laboral, insumos e rateio custo do sistema informatizado</t>
  </si>
  <si>
    <t>vale mercado = R$ 344,68 * 13 / 12</t>
  </si>
  <si>
    <t xml:space="preserve">SINDICATO DOS PROFISSIONAIS/PROFESSORES DE EDUCACAO FISICA DO ESTADO DO PARANA -SINPEFEPAR SINDICLUBES </t>
  </si>
  <si>
    <t>estimativa de km rodado em 07 veículos para todo contrato</t>
  </si>
  <si>
    <r>
      <t xml:space="preserve">Km rodado </t>
    </r>
    <r>
      <rPr>
        <sz val="9"/>
        <color theme="1" tint="0.249977111117893"/>
        <rFont val="Trebuchet MS"/>
        <family val="2"/>
      </rPr>
      <t>(custos variáveis estimativa 100.000km/ano)</t>
    </r>
  </si>
  <si>
    <t>Mensalidade (cumprimento dos itens 2.1 a 2.6 das Especificações Técnicas</t>
  </si>
  <si>
    <t>Aulas Especiais - (cumprimento do item 2.7 das Especificações Técnicas</t>
  </si>
  <si>
    <t>correção salarial base maio / 2026</t>
  </si>
  <si>
    <t>Valor mensal previsto A + (B x 7 veículos)</t>
  </si>
  <si>
    <t>benchmarking contratada atual 1,9%, estimativa média do IPVA considerando depreciação ao longo do tempo</t>
  </si>
  <si>
    <r>
      <t xml:space="preserve">1. No item atendimento contínuo as células Valor Unitário e quantidade estão bloqueadas. Deverá ser preenchida todas informações nas abas 2 à 5 para o cálculo do valor a ser apresentado para o item mensalidade;
2. A base dos salários dos professores está amparada pelo piso salarial da categoria e CCT (vigência 01/05/2025 – 30/04/2026), onde foi utilizada como referência SINDICATO DOS PROFISSIONAIS/PROFESSORES DE EDUCACAO FISICA DO ESTADO DO PARANA -SINPEFEPAR - SINDICLUBES
</t>
    </r>
    <r>
      <rPr>
        <b/>
        <sz val="10"/>
        <color rgb="FF3333FF"/>
        <rFont val="Trebuchet MS"/>
        <family val="2"/>
      </rPr>
      <t>3. A base do salário do Ergonomista está amparada pelo estudo de referência salarial médio disponibilizado pela ABERGO em:</t>
    </r>
    <r>
      <rPr>
        <sz val="10"/>
        <rFont val="Trebuchet MS"/>
        <family val="2"/>
      </rPr>
      <t xml:space="preserve"> </t>
    </r>
    <r>
      <rPr>
        <sz val="10"/>
        <color rgb="FF3333FF"/>
        <rFont val="Trebuchet MS"/>
        <family val="2"/>
      </rPr>
      <t xml:space="preserve">https://www.abergo.org.br/_files/ugd/18ffee_75cf2b28ab03442189d69ac2da041bef.pdf
</t>
    </r>
    <r>
      <rPr>
        <sz val="10"/>
        <rFont val="Trebuchet MS"/>
        <family val="2"/>
      </rPr>
      <t xml:space="preserve">
4. As quantidades indicadas são meramente estimativas destinando-se unicamente à uniformização e julgamento das propostas comerciais e não representam garantia de faturamento ou de exatidão, tampouco poderão ser alteradas para efeito de preenchimento e cálculo de valores.
5. Os preços são propostos considerando as condições tributárias previstas no item 2.4 do CBC e todos os custos, obrigações, despesas diretas e indiretas e encargos inerentes ao objeto contratado, não podendo ser atribuída à ITAIPU nenhuma despesa adicional, a qualquer título.
6. Os preços deverão considerar os pisos das categorias profissionais e acordos ou convenções coletivas celebradas para as categorias no munícipio de Foz do Iguaçu - PR.
</t>
    </r>
    <r>
      <rPr>
        <b/>
        <sz val="10"/>
        <color rgb="FF3333FF"/>
        <rFont val="Trebuchet MS"/>
        <family val="2"/>
      </rPr>
      <t>7. Na proposta comercial foi considerado pela PROPONENTE o integral atendimento as Clásulas Sociais de ITAIPU, previstas na Cláusula 8ª da Minuta de Contrato - Anexo IV</t>
    </r>
    <r>
      <rPr>
        <b/>
        <sz val="10"/>
        <rFont val="Trebuchet MS"/>
        <family val="2"/>
      </rPr>
      <t>.</t>
    </r>
    <r>
      <rPr>
        <sz val="10"/>
        <rFont val="Trebuchet MS"/>
        <family val="2"/>
      </rPr>
      <t xml:space="preserve">
8. Cada proponente deverá elaborar sua proposta considerando sua própria realidade fiscal e tributária. Caso tenha direito a algum benefício legal, caberá exclusivamente à proponente decidir por sua utilização.
As empresas estabelecidas no Brasil devem, ainda, considerar os impactos decorrentes da reoneração da folha de pagamento conforme estabelecido pela Lei nº 14.973/2024. Portanto, a formação do preço é de inteira responsabilidade da proponente, não sendo admitidas reclamações posteriores.                                                                                                                  				                                                                                                                                                           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</si>
</sst>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7" formatCode="&quot;R$&quot;\ #,##0.00;\-&quot;R$&quot;\ #,##0.00"/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416]d\ \ mmmm\,\ yyyy;@"/>
    <numFmt numFmtId="165" formatCode="_(* #,##0.00_);_(* \(#,##0.00\);_(* &quot;-&quot;??_);_(@_)"/>
    <numFmt numFmtId="166" formatCode="#,##0.00_ ;[Red]\-#,##0.00\ "/>
    <numFmt numFmtId="167" formatCode="0.00_ ;[Red]\-0.00\ "/>
    <numFmt numFmtId="168" formatCode="0.0%"/>
    <numFmt numFmtId="169" formatCode="#,##0_ ;\-#,##0\ "/>
    <numFmt numFmtId="170" formatCode="#,##0.00_ ;\-#,##0.00\ "/>
    <numFmt numFmtId="171" formatCode="_-* #,##0_-;\-* #,##0_-;_-* &quot;-&quot;??_-;_-@_-"/>
    <numFmt numFmtId="172" formatCode="0.000%"/>
    <numFmt numFmtId="173" formatCode="_-&quot;R$&quot;\ * #,##0.0000_-;\-&quot;R$&quot;\ * #,##0.0000_-;_-&quot;R$&quot;\ * &quot;-&quot;??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i/>
      <sz val="11"/>
      <color theme="1"/>
      <name val="Trebuchet MS"/>
      <family val="2"/>
    </font>
    <font>
      <i/>
      <sz val="10"/>
      <color theme="1"/>
      <name val="Trebuchet MS"/>
      <family val="2"/>
    </font>
    <font>
      <b/>
      <sz val="12"/>
      <color theme="1"/>
      <name val="Trebuchet MS"/>
      <family val="2"/>
    </font>
    <font>
      <sz val="11"/>
      <color theme="1"/>
      <name val="Calibri"/>
      <family val="2"/>
      <scheme val="minor"/>
    </font>
    <font>
      <b/>
      <i/>
      <sz val="10"/>
      <color theme="1"/>
      <name val="Trebuchet MS"/>
      <family val="2"/>
    </font>
    <font>
      <b/>
      <i/>
      <sz val="11"/>
      <color theme="1"/>
      <name val="Trebuchet MS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b/>
      <sz val="11"/>
      <color theme="1"/>
      <name val="Trebuchet MS"/>
      <family val="2"/>
    </font>
    <font>
      <b/>
      <sz val="10"/>
      <color theme="1"/>
      <name val="Trebuchet MS"/>
      <family val="2"/>
    </font>
    <font>
      <sz val="10"/>
      <color theme="1"/>
      <name val="Trebuchet MS"/>
      <family val="2"/>
    </font>
    <font>
      <i/>
      <sz val="10"/>
      <color rgb="FFFF0000"/>
      <name val="Trebuchet MS"/>
      <family val="2"/>
    </font>
    <font>
      <b/>
      <i/>
      <sz val="14"/>
      <color theme="1"/>
      <name val="Trebuchet MS"/>
      <family val="2"/>
    </font>
    <font>
      <b/>
      <sz val="14"/>
      <name val="Trebuchet MS"/>
      <family val="2"/>
    </font>
    <font>
      <i/>
      <sz val="12"/>
      <color theme="1"/>
      <name val="Trebuchet MS"/>
      <family val="2"/>
    </font>
    <font>
      <b/>
      <i/>
      <sz val="10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i/>
      <sz val="10"/>
      <name val="Trebuchet MS"/>
      <family val="2"/>
    </font>
    <font>
      <b/>
      <sz val="11"/>
      <name val="Trebuchet MS"/>
      <family val="2"/>
    </font>
    <font>
      <sz val="9"/>
      <color theme="1" tint="0.249977111117893"/>
      <name val="Trebuchet MS"/>
      <family val="2"/>
    </font>
    <font>
      <strike/>
      <sz val="9"/>
      <color indexed="81"/>
      <name val="Tahoma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color rgb="FF3333FF"/>
      <name val="Trebuchet MS"/>
      <family val="2"/>
    </font>
    <font>
      <b/>
      <sz val="10"/>
      <color rgb="FF3333FF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9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0" fillId="0" borderId="0"/>
  </cellStyleXfs>
  <cellXfs count="262">
    <xf numFmtId="0" fontId="0" fillId="0" borderId="0" xfId="0"/>
    <xf numFmtId="0" fontId="1" fillId="0" borderId="0" xfId="0" applyFont="1"/>
    <xf numFmtId="0" fontId="1" fillId="2" borderId="0" xfId="0" applyFont="1" applyFill="1"/>
    <xf numFmtId="0" fontId="4" fillId="2" borderId="0" xfId="0" applyFont="1" applyFill="1"/>
    <xf numFmtId="7" fontId="1" fillId="0" borderId="0" xfId="0" applyNumberFormat="1" applyFont="1"/>
    <xf numFmtId="0" fontId="1" fillId="0" borderId="0" xfId="0" applyFont="1" applyAlignment="1">
      <alignment horizontal="left"/>
    </xf>
    <xf numFmtId="0" fontId="13" fillId="0" borderId="0" xfId="0" applyFont="1"/>
    <xf numFmtId="0" fontId="2" fillId="0" borderId="0" xfId="0" applyFont="1"/>
    <xf numFmtId="0" fontId="3" fillId="0" borderId="0" xfId="0" applyFont="1"/>
    <xf numFmtId="44" fontId="1" fillId="0" borderId="0" xfId="1" applyFont="1"/>
    <xf numFmtId="44" fontId="1" fillId="0" borderId="0" xfId="0" applyNumberFormat="1" applyFont="1"/>
    <xf numFmtId="171" fontId="1" fillId="0" borderId="0" xfId="7" applyNumberFormat="1" applyFont="1"/>
    <xf numFmtId="0" fontId="1" fillId="0" borderId="0" xfId="0" applyFont="1" applyAlignment="1">
      <alignment horizontal="right"/>
    </xf>
    <xf numFmtId="10" fontId="1" fillId="0" borderId="0" xfId="2" applyNumberFormat="1" applyFont="1"/>
    <xf numFmtId="0" fontId="15" fillId="0" borderId="0" xfId="0" applyFont="1"/>
    <xf numFmtId="44" fontId="1" fillId="4" borderId="0" xfId="0" applyNumberFormat="1" applyFont="1" applyFill="1"/>
    <xf numFmtId="44" fontId="1" fillId="4" borderId="0" xfId="1" applyFont="1" applyFill="1"/>
    <xf numFmtId="172" fontId="1" fillId="0" borderId="0" xfId="2" applyNumberFormat="1" applyFont="1"/>
    <xf numFmtId="171" fontId="1" fillId="0" borderId="0" xfId="7" applyNumberFormat="1" applyFont="1" applyFill="1" applyBorder="1"/>
    <xf numFmtId="173" fontId="1" fillId="0" borderId="0" xfId="1" applyNumberFormat="1" applyFont="1" applyFill="1" applyBorder="1"/>
    <xf numFmtId="173" fontId="1" fillId="0" borderId="0" xfId="1" applyNumberFormat="1" applyFont="1"/>
    <xf numFmtId="7" fontId="1" fillId="0" borderId="0" xfId="1" applyNumberFormat="1" applyFont="1" applyFill="1"/>
    <xf numFmtId="0" fontId="3" fillId="2" borderId="13" xfId="0" applyFont="1" applyFill="1" applyBorder="1" applyAlignment="1">
      <alignment horizontal="right"/>
    </xf>
    <xf numFmtId="44" fontId="3" fillId="2" borderId="16" xfId="1" applyFont="1" applyFill="1" applyBorder="1"/>
    <xf numFmtId="0" fontId="3" fillId="2" borderId="17" xfId="0" applyFont="1" applyFill="1" applyBorder="1" applyAlignment="1">
      <alignment horizontal="right"/>
    </xf>
    <xf numFmtId="44" fontId="3" fillId="2" borderId="20" xfId="1" applyFont="1" applyFill="1" applyBorder="1"/>
    <xf numFmtId="0" fontId="11" fillId="6" borderId="7" xfId="0" applyFont="1" applyFill="1" applyBorder="1" applyAlignment="1">
      <alignment horizontal="center"/>
    </xf>
    <xf numFmtId="0" fontId="1" fillId="3" borderId="5" xfId="0" applyFont="1" applyFill="1" applyBorder="1" applyAlignment="1">
      <alignment vertical="center"/>
    </xf>
    <xf numFmtId="10" fontId="21" fillId="0" borderId="7" xfId="0" applyNumberFormat="1" applyFont="1" applyBorder="1" applyAlignment="1">
      <alignment horizontal="right" vertical="center"/>
    </xf>
    <xf numFmtId="165" fontId="21" fillId="0" borderId="7" xfId="3" applyFont="1" applyBorder="1" applyAlignment="1">
      <alignment horizontal="right" vertical="center"/>
    </xf>
    <xf numFmtId="0" fontId="13" fillId="3" borderId="5" xfId="0" applyFont="1" applyFill="1" applyBorder="1" applyAlignment="1">
      <alignment vertical="center"/>
    </xf>
    <xf numFmtId="0" fontId="13" fillId="3" borderId="0" xfId="0" applyFont="1" applyFill="1" applyAlignment="1">
      <alignment vertical="center"/>
    </xf>
    <xf numFmtId="0" fontId="18" fillId="5" borderId="7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/>
    </xf>
    <xf numFmtId="10" fontId="3" fillId="0" borderId="7" xfId="0" applyNumberFormat="1" applyFont="1" applyBorder="1" applyAlignment="1">
      <alignment vertical="center"/>
    </xf>
    <xf numFmtId="166" fontId="21" fillId="0" borderId="7" xfId="3" applyNumberFormat="1" applyFont="1" applyBorder="1" applyAlignment="1" applyProtection="1">
      <alignment horizontal="right" vertical="center"/>
    </xf>
    <xf numFmtId="0" fontId="21" fillId="0" borderId="7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/>
    </xf>
    <xf numFmtId="167" fontId="21" fillId="0" borderId="7" xfId="3" applyNumberFormat="1" applyFont="1" applyBorder="1" applyAlignment="1" applyProtection="1">
      <alignment horizontal="right" vertical="center"/>
    </xf>
    <xf numFmtId="0" fontId="13" fillId="3" borderId="8" xfId="0" applyFont="1" applyFill="1" applyBorder="1" applyAlignment="1">
      <alignment vertical="center"/>
    </xf>
    <xf numFmtId="0" fontId="13" fillId="3" borderId="6" xfId="0" applyFont="1" applyFill="1" applyBorder="1" applyAlignment="1">
      <alignment vertical="center"/>
    </xf>
    <xf numFmtId="0" fontId="13" fillId="3" borderId="11" xfId="0" applyFont="1" applyFill="1" applyBorder="1" applyAlignment="1">
      <alignment vertical="center"/>
    </xf>
    <xf numFmtId="0" fontId="13" fillId="3" borderId="12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6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 wrapText="1"/>
    </xf>
    <xf numFmtId="9" fontId="21" fillId="0" borderId="7" xfId="0" applyNumberFormat="1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/>
    </xf>
    <xf numFmtId="0" fontId="3" fillId="3" borderId="11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0" fontId="3" fillId="3" borderId="12" xfId="0" applyFont="1" applyFill="1" applyBorder="1" applyAlignment="1">
      <alignment vertical="center"/>
    </xf>
    <xf numFmtId="9" fontId="21" fillId="2" borderId="7" xfId="0" applyNumberFormat="1" applyFont="1" applyFill="1" applyBorder="1" applyAlignment="1">
      <alignment horizontal="center" vertical="center" wrapText="1"/>
    </xf>
    <xf numFmtId="166" fontId="21" fillId="0" borderId="7" xfId="0" applyNumberFormat="1" applyFont="1" applyBorder="1" applyAlignment="1">
      <alignment horizontal="right" vertical="center"/>
    </xf>
    <xf numFmtId="166" fontId="21" fillId="0" borderId="7" xfId="3" applyNumberFormat="1" applyFont="1" applyBorder="1" applyAlignment="1">
      <alignment horizontal="right" vertical="center"/>
    </xf>
    <xf numFmtId="10" fontId="18" fillId="5" borderId="7" xfId="2" applyNumberFormat="1" applyFont="1" applyFill="1" applyBorder="1" applyAlignment="1">
      <alignment horizontal="right" vertical="center" wrapText="1"/>
    </xf>
    <xf numFmtId="43" fontId="18" fillId="5" borderId="7" xfId="4" applyFont="1" applyFill="1" applyBorder="1" applyAlignment="1">
      <alignment horizontal="right" vertical="center" wrapText="1"/>
    </xf>
    <xf numFmtId="0" fontId="21" fillId="0" borderId="16" xfId="0" applyFont="1" applyBorder="1" applyAlignment="1">
      <alignment horizontal="center" vertical="center"/>
    </xf>
    <xf numFmtId="9" fontId="21" fillId="0" borderId="16" xfId="0" applyNumberFormat="1" applyFont="1" applyBorder="1" applyAlignment="1">
      <alignment horizontal="right" vertical="center"/>
    </xf>
    <xf numFmtId="165" fontId="21" fillId="0" borderId="16" xfId="3" applyFont="1" applyBorder="1" applyAlignment="1">
      <alignment horizontal="right" vertical="center"/>
    </xf>
    <xf numFmtId="0" fontId="21" fillId="0" borderId="20" xfId="0" applyFont="1" applyBorder="1" applyAlignment="1">
      <alignment horizontal="center" vertical="center"/>
    </xf>
    <xf numFmtId="168" fontId="21" fillId="0" borderId="20" xfId="0" applyNumberFormat="1" applyFont="1" applyBorder="1" applyAlignment="1">
      <alignment horizontal="right" vertical="center"/>
    </xf>
    <xf numFmtId="165" fontId="21" fillId="0" borderId="20" xfId="3" applyFont="1" applyBorder="1" applyAlignment="1">
      <alignment horizontal="right" vertical="center"/>
    </xf>
    <xf numFmtId="9" fontId="21" fillId="0" borderId="20" xfId="0" applyNumberFormat="1" applyFont="1" applyBorder="1" applyAlignment="1">
      <alignment horizontal="right" vertical="center"/>
    </xf>
    <xf numFmtId="168" fontId="21" fillId="0" borderId="21" xfId="0" applyNumberFormat="1" applyFont="1" applyBorder="1" applyAlignment="1">
      <alignment horizontal="right" vertical="center"/>
    </xf>
    <xf numFmtId="165" fontId="21" fillId="0" borderId="21" xfId="3" applyFont="1" applyBorder="1" applyAlignment="1">
      <alignment horizontal="right" vertical="center"/>
    </xf>
    <xf numFmtId="10" fontId="21" fillId="5" borderId="7" xfId="5" applyNumberFormat="1" applyFont="1" applyFill="1" applyBorder="1" applyAlignment="1">
      <alignment horizontal="right" vertical="center" wrapText="1"/>
    </xf>
    <xf numFmtId="43" fontId="21" fillId="5" borderId="7" xfId="4" applyFont="1" applyFill="1" applyBorder="1" applyAlignment="1">
      <alignment horizontal="left" vertical="center" wrapText="1"/>
    </xf>
    <xf numFmtId="166" fontId="18" fillId="5" borderId="7" xfId="2" applyNumberFormat="1" applyFont="1" applyFill="1" applyBorder="1" applyAlignment="1">
      <alignment horizontal="right" vertical="center" wrapText="1"/>
    </xf>
    <xf numFmtId="166" fontId="21" fillId="5" borderId="7" xfId="5" applyNumberFormat="1" applyFont="1" applyFill="1" applyBorder="1" applyAlignment="1">
      <alignment horizontal="right" vertical="center" wrapText="1"/>
    </xf>
    <xf numFmtId="10" fontId="21" fillId="5" borderId="7" xfId="2" applyNumberFormat="1" applyFont="1" applyFill="1" applyBorder="1" applyAlignment="1">
      <alignment horizontal="right" vertical="center" wrapText="1"/>
    </xf>
    <xf numFmtId="166" fontId="21" fillId="5" borderId="7" xfId="2" applyNumberFormat="1" applyFont="1" applyFill="1" applyBorder="1" applyAlignment="1">
      <alignment horizontal="right" vertical="center" wrapText="1"/>
    </xf>
    <xf numFmtId="166" fontId="21" fillId="5" borderId="7" xfId="4" applyNumberFormat="1" applyFont="1" applyFill="1" applyBorder="1" applyAlignment="1">
      <alignment horizontal="right" vertical="center" wrapText="1"/>
    </xf>
    <xf numFmtId="10" fontId="18" fillId="5" borderId="7" xfId="5" applyNumberFormat="1" applyFont="1" applyFill="1" applyBorder="1" applyAlignment="1">
      <alignment horizontal="right" vertical="center" wrapText="1"/>
    </xf>
    <xf numFmtId="166" fontId="18" fillId="5" borderId="7" xfId="4" applyNumberFormat="1" applyFont="1" applyFill="1" applyBorder="1" applyAlignment="1">
      <alignment horizontal="right" vertical="center" wrapText="1"/>
    </xf>
    <xf numFmtId="10" fontId="21" fillId="0" borderId="16" xfId="0" applyNumberFormat="1" applyFont="1" applyBorder="1" applyAlignment="1">
      <alignment horizontal="right" vertical="center"/>
    </xf>
    <xf numFmtId="10" fontId="21" fillId="0" borderId="20" xfId="0" applyNumberFormat="1" applyFont="1" applyBorder="1" applyAlignment="1">
      <alignment horizontal="right" vertical="center"/>
    </xf>
    <xf numFmtId="9" fontId="21" fillId="0" borderId="21" xfId="2" applyFont="1" applyFill="1" applyBorder="1" applyAlignment="1" applyProtection="1">
      <alignment vertical="center" wrapText="1"/>
      <protection locked="0"/>
    </xf>
    <xf numFmtId="0" fontId="19" fillId="0" borderId="16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166" fontId="21" fillId="0" borderId="16" xfId="3" applyNumberFormat="1" applyFont="1" applyBorder="1" applyAlignment="1">
      <alignment horizontal="right" vertical="center"/>
    </xf>
    <xf numFmtId="166" fontId="21" fillId="0" borderId="20" xfId="3" applyNumberFormat="1" applyFont="1" applyBorder="1" applyAlignment="1">
      <alignment horizontal="right" vertical="center"/>
    </xf>
    <xf numFmtId="166" fontId="3" fillId="0" borderId="21" xfId="4" applyNumberFormat="1" applyFont="1" applyFill="1" applyBorder="1" applyAlignment="1" applyProtection="1">
      <alignment vertical="center" wrapText="1"/>
      <protection locked="0"/>
    </xf>
    <xf numFmtId="9" fontId="3" fillId="0" borderId="21" xfId="2" applyFont="1" applyFill="1" applyBorder="1" applyAlignment="1" applyProtection="1">
      <alignment vertical="center" wrapText="1"/>
      <protection locked="0"/>
    </xf>
    <xf numFmtId="10" fontId="21" fillId="0" borderId="21" xfId="0" applyNumberFormat="1" applyFont="1" applyBorder="1" applyAlignment="1">
      <alignment horizontal="right" vertical="center"/>
    </xf>
    <xf numFmtId="10" fontId="21" fillId="2" borderId="21" xfId="0" applyNumberFormat="1" applyFont="1" applyFill="1" applyBorder="1" applyAlignment="1">
      <alignment horizontal="right" vertical="center"/>
    </xf>
    <xf numFmtId="0" fontId="18" fillId="6" borderId="4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vertical="center"/>
    </xf>
    <xf numFmtId="0" fontId="3" fillId="0" borderId="0" xfId="0" applyFont="1" applyAlignment="1">
      <alignment wrapText="1"/>
    </xf>
    <xf numFmtId="44" fontId="3" fillId="0" borderId="0" xfId="0" applyNumberFormat="1" applyFont="1" applyAlignment="1">
      <alignment wrapText="1"/>
    </xf>
    <xf numFmtId="0" fontId="13" fillId="0" borderId="0" xfId="0" applyFont="1" applyAlignment="1">
      <alignment wrapText="1"/>
    </xf>
    <xf numFmtId="0" fontId="13" fillId="2" borderId="0" xfId="0" applyFont="1" applyFill="1"/>
    <xf numFmtId="173" fontId="13" fillId="0" borderId="0" xfId="0" applyNumberFormat="1" applyFont="1"/>
    <xf numFmtId="44" fontId="13" fillId="0" borderId="0" xfId="1" applyFont="1"/>
    <xf numFmtId="0" fontId="13" fillId="2" borderId="0" xfId="0" applyFont="1" applyFill="1" applyAlignment="1">
      <alignment vertical="center"/>
    </xf>
    <xf numFmtId="44" fontId="6" fillId="5" borderId="7" xfId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44" fontId="11" fillId="6" borderId="7" xfId="1" applyFont="1" applyFill="1" applyBorder="1"/>
    <xf numFmtId="10" fontId="13" fillId="0" borderId="0" xfId="2" applyNumberFormat="1" applyFont="1"/>
    <xf numFmtId="1" fontId="1" fillId="0" borderId="0" xfId="1" applyNumberFormat="1" applyFont="1"/>
    <xf numFmtId="0" fontId="18" fillId="6" borderId="0" xfId="0" applyFont="1" applyFill="1" applyAlignment="1">
      <alignment horizontal="right" vertical="center" wrapText="1"/>
    </xf>
    <xf numFmtId="44" fontId="18" fillId="6" borderId="0" xfId="1" applyFont="1" applyFill="1" applyBorder="1" applyAlignment="1">
      <alignment horizontal="right" vertical="center" wrapText="1"/>
    </xf>
    <xf numFmtId="0" fontId="10" fillId="0" borderId="0" xfId="8"/>
    <xf numFmtId="44" fontId="4" fillId="6" borderId="7" xfId="1" applyFont="1" applyFill="1" applyBorder="1"/>
    <xf numFmtId="0" fontId="1" fillId="0" borderId="0" xfId="0" applyFont="1" applyProtection="1">
      <protection locked="0"/>
    </xf>
    <xf numFmtId="0" fontId="1" fillId="2" borderId="0" xfId="0" applyFont="1" applyFill="1" applyProtection="1">
      <protection locked="0"/>
    </xf>
    <xf numFmtId="0" fontId="12" fillId="2" borderId="0" xfId="0" applyFont="1" applyFill="1" applyAlignment="1" applyProtection="1">
      <alignment horizontal="center" vertical="center" wrapText="1"/>
      <protection locked="0"/>
    </xf>
    <xf numFmtId="0" fontId="12" fillId="6" borderId="7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3" fillId="2" borderId="10" xfId="0" applyFont="1" applyFill="1" applyBorder="1" applyAlignment="1" applyProtection="1">
      <alignment horizontal="center" vertical="center"/>
      <protection locked="0"/>
    </xf>
    <xf numFmtId="44" fontId="1" fillId="0" borderId="0" xfId="0" applyNumberFormat="1" applyFont="1" applyProtection="1">
      <protection locked="0"/>
    </xf>
    <xf numFmtId="0" fontId="7" fillId="2" borderId="0" xfId="0" applyFont="1" applyFill="1" applyProtection="1">
      <protection locked="0"/>
    </xf>
    <xf numFmtId="0" fontId="7" fillId="2" borderId="0" xfId="0" applyFont="1" applyFill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17" fillId="2" borderId="0" xfId="0" applyFont="1" applyFill="1" applyAlignment="1">
      <alignment horizontal="center"/>
    </xf>
    <xf numFmtId="43" fontId="11" fillId="6" borderId="7" xfId="0" applyNumberFormat="1" applyFont="1" applyFill="1" applyBorder="1"/>
    <xf numFmtId="0" fontId="1" fillId="0" borderId="0" xfId="0" applyFont="1" applyAlignment="1">
      <alignment wrapText="1"/>
    </xf>
    <xf numFmtId="0" fontId="3" fillId="2" borderId="7" xfId="0" applyFont="1" applyFill="1" applyBorder="1" applyAlignment="1" applyProtection="1">
      <alignment horizontal="left" vertical="center" wrapText="1"/>
      <protection locked="0"/>
    </xf>
    <xf numFmtId="170" fontId="3" fillId="2" borderId="7" xfId="7" applyNumberFormat="1" applyFont="1" applyFill="1" applyBorder="1" applyAlignment="1" applyProtection="1">
      <alignment horizontal="center" vertical="center"/>
    </xf>
    <xf numFmtId="169" fontId="3" fillId="2" borderId="7" xfId="7" applyNumberFormat="1" applyFont="1" applyFill="1" applyBorder="1" applyAlignment="1" applyProtection="1">
      <alignment horizontal="center" vertical="center"/>
    </xf>
    <xf numFmtId="43" fontId="3" fillId="2" borderId="7" xfId="7" applyFont="1" applyFill="1" applyBorder="1" applyAlignment="1" applyProtection="1">
      <alignment vertical="center"/>
    </xf>
    <xf numFmtId="168" fontId="21" fillId="0" borderId="7" xfId="0" applyNumberFormat="1" applyFont="1" applyBorder="1" applyAlignment="1">
      <alignment horizontal="center" vertical="center" wrapText="1"/>
    </xf>
    <xf numFmtId="0" fontId="11" fillId="6" borderId="8" xfId="0" applyFont="1" applyFill="1" applyBorder="1" applyAlignment="1" applyProtection="1">
      <alignment horizontal="left"/>
      <protection locked="0"/>
    </xf>
    <xf numFmtId="0" fontId="11" fillId="6" borderId="5" xfId="0" applyFont="1" applyFill="1" applyBorder="1" applyAlignment="1" applyProtection="1">
      <alignment horizontal="left"/>
      <protection locked="0"/>
    </xf>
    <xf numFmtId="0" fontId="11" fillId="6" borderId="6" xfId="0" applyFont="1" applyFill="1" applyBorder="1" applyAlignment="1" applyProtection="1">
      <alignment horizontal="left"/>
      <protection locked="0"/>
    </xf>
    <xf numFmtId="0" fontId="16" fillId="2" borderId="0" xfId="0" applyFont="1" applyFill="1" applyAlignment="1" applyProtection="1">
      <alignment horizontal="center"/>
      <protection locked="0"/>
    </xf>
    <xf numFmtId="0" fontId="17" fillId="2" borderId="0" xfId="0" applyFont="1" applyFill="1" applyAlignment="1" applyProtection="1">
      <alignment horizontal="center"/>
      <protection locked="0"/>
    </xf>
    <xf numFmtId="0" fontId="19" fillId="2" borderId="0" xfId="0" applyFont="1" applyFill="1" applyAlignment="1" applyProtection="1">
      <alignment horizontal="left" vertical="center" wrapText="1"/>
      <protection locked="0"/>
    </xf>
    <xf numFmtId="0" fontId="11" fillId="6" borderId="8" xfId="0" applyFont="1" applyFill="1" applyBorder="1" applyAlignment="1">
      <alignment horizontal="left"/>
    </xf>
    <xf numFmtId="0" fontId="11" fillId="6" borderId="5" xfId="0" applyFont="1" applyFill="1" applyBorder="1" applyAlignment="1">
      <alignment horizontal="left"/>
    </xf>
    <xf numFmtId="0" fontId="11" fillId="6" borderId="6" xfId="0" applyFont="1" applyFill="1" applyBorder="1" applyAlignment="1">
      <alignment horizontal="left"/>
    </xf>
    <xf numFmtId="0" fontId="6" fillId="5" borderId="8" xfId="0" applyFont="1" applyFill="1" applyBorder="1" applyAlignment="1">
      <alignment horizontal="left" vertical="center"/>
    </xf>
    <xf numFmtId="0" fontId="6" fillId="5" borderId="5" xfId="0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left" vertical="center"/>
    </xf>
    <xf numFmtId="0" fontId="4" fillId="6" borderId="8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left"/>
    </xf>
    <xf numFmtId="0" fontId="4" fillId="6" borderId="6" xfId="0" applyFont="1" applyFill="1" applyBorder="1" applyAlignment="1">
      <alignment horizontal="left"/>
    </xf>
    <xf numFmtId="0" fontId="3" fillId="2" borderId="18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left"/>
    </xf>
    <xf numFmtId="0" fontId="3" fillId="2" borderId="19" xfId="0" applyFont="1" applyFill="1" applyBorder="1" applyAlignment="1">
      <alignment horizontal="left"/>
    </xf>
    <xf numFmtId="0" fontId="16" fillId="2" borderId="0" xfId="0" applyFont="1" applyFill="1" applyAlignment="1">
      <alignment horizontal="center"/>
    </xf>
    <xf numFmtId="0" fontId="17" fillId="2" borderId="0" xfId="0" applyFont="1" applyFill="1" applyAlignment="1">
      <alignment horizontal="center"/>
    </xf>
    <xf numFmtId="0" fontId="3" fillId="2" borderId="15" xfId="0" applyFont="1" applyFill="1" applyBorder="1" applyAlignment="1">
      <alignment horizontal="left"/>
    </xf>
    <xf numFmtId="0" fontId="18" fillId="6" borderId="8" xfId="0" applyFont="1" applyFill="1" applyBorder="1" applyAlignment="1">
      <alignment horizontal="right" vertical="center" wrapText="1"/>
    </xf>
    <xf numFmtId="0" fontId="18" fillId="6" borderId="5" xfId="0" applyFont="1" applyFill="1" applyBorder="1" applyAlignment="1">
      <alignment horizontal="right" vertical="center" wrapText="1"/>
    </xf>
    <xf numFmtId="0" fontId="18" fillId="6" borderId="6" xfId="0" applyFont="1" applyFill="1" applyBorder="1" applyAlignment="1">
      <alignment horizontal="right" vertical="center" wrapText="1"/>
    </xf>
    <xf numFmtId="44" fontId="18" fillId="6" borderId="8" xfId="1" applyFont="1" applyFill="1" applyBorder="1" applyAlignment="1">
      <alignment horizontal="center" vertical="center" wrapText="1"/>
    </xf>
    <xf numFmtId="44" fontId="18" fillId="6" borderId="5" xfId="1" applyFont="1" applyFill="1" applyBorder="1" applyAlignment="1">
      <alignment horizontal="center" vertical="center" wrapText="1"/>
    </xf>
    <xf numFmtId="44" fontId="18" fillId="6" borderId="6" xfId="1" applyFont="1" applyFill="1" applyBorder="1" applyAlignment="1">
      <alignment horizontal="center" vertical="center" wrapText="1"/>
    </xf>
    <xf numFmtId="44" fontId="18" fillId="6" borderId="7" xfId="1" applyFont="1" applyFill="1" applyBorder="1" applyAlignment="1">
      <alignment horizontal="right" vertical="center" wrapText="1"/>
    </xf>
    <xf numFmtId="44" fontId="21" fillId="0" borderId="8" xfId="6" applyFont="1" applyBorder="1" applyAlignment="1">
      <alignment horizontal="center" vertical="center"/>
    </xf>
    <xf numFmtId="44" fontId="21" fillId="0" borderId="6" xfId="6" applyFont="1" applyBorder="1" applyAlignment="1">
      <alignment horizontal="center" vertical="center"/>
    </xf>
    <xf numFmtId="0" fontId="21" fillId="0" borderId="20" xfId="0" applyFont="1" applyBorder="1" applyAlignment="1">
      <alignment horizontal="left" vertical="center"/>
    </xf>
    <xf numFmtId="44" fontId="21" fillId="0" borderId="20" xfId="6" applyFont="1" applyBorder="1" applyAlignment="1">
      <alignment horizontal="center" vertical="center"/>
    </xf>
    <xf numFmtId="0" fontId="21" fillId="0" borderId="21" xfId="0" applyFont="1" applyBorder="1" applyAlignment="1">
      <alignment horizontal="left" vertical="center"/>
    </xf>
    <xf numFmtId="44" fontId="21" fillId="0" borderId="21" xfId="6" applyFont="1" applyFill="1" applyBorder="1" applyAlignment="1">
      <alignment horizontal="center" vertical="center"/>
    </xf>
    <xf numFmtId="44" fontId="21" fillId="0" borderId="17" xfId="6" applyFont="1" applyBorder="1" applyAlignment="1">
      <alignment horizontal="center" vertical="center"/>
    </xf>
    <xf numFmtId="44" fontId="21" fillId="0" borderId="19" xfId="6" applyFont="1" applyBorder="1" applyAlignment="1">
      <alignment horizontal="center" vertical="center"/>
    </xf>
    <xf numFmtId="44" fontId="21" fillId="0" borderId="22" xfId="6" applyFont="1" applyBorder="1" applyAlignment="1">
      <alignment horizontal="center" vertical="center"/>
    </xf>
    <xf numFmtId="44" fontId="21" fillId="0" borderId="23" xfId="6" applyFont="1" applyBorder="1" applyAlignment="1">
      <alignment horizontal="center" vertical="center"/>
    </xf>
    <xf numFmtId="0" fontId="18" fillId="0" borderId="21" xfId="0" applyFont="1" applyBorder="1" applyAlignment="1">
      <alignment horizontal="left" vertical="center"/>
    </xf>
    <xf numFmtId="44" fontId="21" fillId="0" borderId="21" xfId="6" applyFont="1" applyBorder="1" applyAlignment="1">
      <alignment horizontal="center" vertical="center"/>
    </xf>
    <xf numFmtId="0" fontId="22" fillId="6" borderId="4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8" fillId="6" borderId="2" xfId="0" applyFont="1" applyFill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center" vertical="center" wrapText="1"/>
    </xf>
    <xf numFmtId="0" fontId="18" fillId="6" borderId="7" xfId="0" applyFont="1" applyFill="1" applyBorder="1" applyAlignment="1">
      <alignment horizontal="center" vertical="center" wrapText="1"/>
    </xf>
    <xf numFmtId="0" fontId="21" fillId="0" borderId="16" xfId="0" applyFont="1" applyBorder="1" applyAlignment="1">
      <alignment horizontal="left" vertical="center"/>
    </xf>
    <xf numFmtId="44" fontId="21" fillId="0" borderId="16" xfId="6" applyFont="1" applyBorder="1" applyAlignment="1">
      <alignment horizontal="center" vertical="center"/>
    </xf>
    <xf numFmtId="0" fontId="21" fillId="0" borderId="16" xfId="0" applyFont="1" applyBorder="1" applyAlignment="1">
      <alignment vertical="center"/>
    </xf>
    <xf numFmtId="0" fontId="18" fillId="5" borderId="8" xfId="0" applyFont="1" applyFill="1" applyBorder="1" applyAlignment="1">
      <alignment horizontal="right" vertical="center" wrapText="1"/>
    </xf>
    <xf numFmtId="0" fontId="18" fillId="5" borderId="5" xfId="0" applyFont="1" applyFill="1" applyBorder="1" applyAlignment="1">
      <alignment horizontal="right" vertical="center" wrapText="1"/>
    </xf>
    <xf numFmtId="0" fontId="18" fillId="5" borderId="6" xfId="0" applyFont="1" applyFill="1" applyBorder="1" applyAlignment="1">
      <alignment horizontal="right" vertical="center" wrapText="1"/>
    </xf>
    <xf numFmtId="0" fontId="22" fillId="6" borderId="4" xfId="0" applyFont="1" applyFill="1" applyBorder="1" applyAlignment="1">
      <alignment horizontal="center" vertical="center"/>
    </xf>
    <xf numFmtId="0" fontId="18" fillId="6" borderId="8" xfId="0" applyFont="1" applyFill="1" applyBorder="1" applyAlignment="1">
      <alignment horizontal="center" vertical="center" wrapText="1"/>
    </xf>
    <xf numFmtId="0" fontId="18" fillId="6" borderId="6" xfId="0" applyFont="1" applyFill="1" applyBorder="1" applyAlignment="1">
      <alignment horizontal="center" vertical="center" wrapText="1"/>
    </xf>
    <xf numFmtId="44" fontId="21" fillId="0" borderId="13" xfId="6" applyFont="1" applyBorder="1" applyAlignment="1">
      <alignment horizontal="center" vertical="center"/>
    </xf>
    <xf numFmtId="44" fontId="21" fillId="0" borderId="15" xfId="6" applyFont="1" applyBorder="1" applyAlignment="1">
      <alignment horizontal="center" vertical="center"/>
    </xf>
    <xf numFmtId="0" fontId="18" fillId="5" borderId="7" xfId="0" applyFont="1" applyFill="1" applyBorder="1" applyAlignment="1">
      <alignment horizontal="center" vertical="center" wrapText="1"/>
    </xf>
    <xf numFmtId="0" fontId="18" fillId="5" borderId="8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21" fillId="5" borderId="8" xfId="0" applyFont="1" applyFill="1" applyBorder="1" applyAlignment="1">
      <alignment horizontal="right" vertical="center" wrapText="1"/>
    </xf>
    <xf numFmtId="0" fontId="21" fillId="5" borderId="5" xfId="0" applyFont="1" applyFill="1" applyBorder="1" applyAlignment="1">
      <alignment horizontal="right" vertical="center" wrapText="1"/>
    </xf>
    <xf numFmtId="0" fontId="21" fillId="5" borderId="6" xfId="0" applyFont="1" applyFill="1" applyBorder="1" applyAlignment="1">
      <alignment horizontal="right" vertical="center" wrapText="1"/>
    </xf>
    <xf numFmtId="0" fontId="21" fillId="0" borderId="8" xfId="0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21" fillId="0" borderId="6" xfId="0" applyFont="1" applyBorder="1" applyAlignment="1">
      <alignment vertical="center" wrapText="1"/>
    </xf>
    <xf numFmtId="0" fontId="21" fillId="0" borderId="20" xfId="0" applyFont="1" applyBorder="1" applyAlignment="1">
      <alignment horizontal="left" vertical="center" wrapText="1"/>
    </xf>
    <xf numFmtId="0" fontId="21" fillId="0" borderId="20" xfId="0" applyFont="1" applyBorder="1" applyAlignment="1">
      <alignment vertical="center" wrapText="1"/>
    </xf>
    <xf numFmtId="0" fontId="21" fillId="0" borderId="21" xfId="0" applyFont="1" applyBorder="1" applyAlignment="1">
      <alignment vertical="center" wrapText="1"/>
    </xf>
    <xf numFmtId="0" fontId="21" fillId="0" borderId="16" xfId="0" applyFont="1" applyBorder="1" applyAlignment="1">
      <alignment vertical="center" wrapText="1"/>
    </xf>
    <xf numFmtId="0" fontId="21" fillId="2" borderId="21" xfId="0" applyFont="1" applyFill="1" applyBorder="1" applyAlignment="1">
      <alignment vertical="center" wrapText="1"/>
    </xf>
    <xf numFmtId="43" fontId="21" fillId="0" borderId="22" xfId="0" applyNumberFormat="1" applyFont="1" applyBorder="1" applyAlignment="1">
      <alignment horizontal="center" vertical="center" wrapText="1"/>
    </xf>
    <xf numFmtId="43" fontId="21" fillId="0" borderId="23" xfId="0" applyNumberFormat="1" applyFont="1" applyBorder="1" applyAlignment="1">
      <alignment horizontal="center" vertical="center" wrapText="1"/>
    </xf>
    <xf numFmtId="43" fontId="18" fillId="5" borderId="8" xfId="4" applyFont="1" applyFill="1" applyBorder="1" applyAlignment="1">
      <alignment horizontal="center" vertical="center" wrapText="1"/>
    </xf>
    <xf numFmtId="43" fontId="18" fillId="5" borderId="5" xfId="4" applyFont="1" applyFill="1" applyBorder="1" applyAlignment="1">
      <alignment horizontal="center" vertical="center" wrapText="1"/>
    </xf>
    <xf numFmtId="0" fontId="21" fillId="2" borderId="20" xfId="0" applyFont="1" applyFill="1" applyBorder="1" applyAlignment="1">
      <alignment horizontal="left" vertical="center"/>
    </xf>
    <xf numFmtId="0" fontId="21" fillId="2" borderId="21" xfId="0" applyFont="1" applyFill="1" applyBorder="1" applyAlignment="1">
      <alignment horizontal="left" vertical="center"/>
    </xf>
    <xf numFmtId="0" fontId="21" fillId="2" borderId="16" xfId="0" applyFont="1" applyFill="1" applyBorder="1" applyAlignment="1">
      <alignment horizontal="left" vertical="center"/>
    </xf>
    <xf numFmtId="43" fontId="21" fillId="0" borderId="21" xfId="0" applyNumberFormat="1" applyFont="1" applyBorder="1" applyAlignment="1">
      <alignment horizontal="right" vertical="center" wrapText="1"/>
    </xf>
    <xf numFmtId="43" fontId="18" fillId="5" borderId="7" xfId="4" applyFont="1" applyFill="1" applyBorder="1" applyAlignment="1">
      <alignment horizontal="right" vertical="center" wrapText="1"/>
    </xf>
    <xf numFmtId="43" fontId="21" fillId="2" borderId="13" xfId="0" applyNumberFormat="1" applyFont="1" applyFill="1" applyBorder="1" applyAlignment="1">
      <alignment horizontal="center" vertical="center" wrapText="1"/>
    </xf>
    <xf numFmtId="43" fontId="21" fillId="2" borderId="15" xfId="0" applyNumberFormat="1" applyFont="1" applyFill="1" applyBorder="1" applyAlignment="1">
      <alignment horizontal="center" vertical="center" wrapText="1"/>
    </xf>
    <xf numFmtId="165" fontId="21" fillId="0" borderId="16" xfId="4" applyNumberFormat="1" applyFont="1" applyFill="1" applyBorder="1" applyAlignment="1" applyProtection="1">
      <alignment horizontal="right" vertical="center" wrapText="1"/>
    </xf>
    <xf numFmtId="165" fontId="21" fillId="2" borderId="21" xfId="4" applyNumberFormat="1" applyFont="1" applyFill="1" applyBorder="1" applyAlignment="1" applyProtection="1">
      <alignment horizontal="right" vertical="center" wrapText="1"/>
    </xf>
    <xf numFmtId="165" fontId="21" fillId="5" borderId="7" xfId="4" applyNumberFormat="1" applyFont="1" applyFill="1" applyBorder="1" applyAlignment="1" applyProtection="1">
      <alignment horizontal="right" vertical="center" wrapText="1"/>
    </xf>
    <xf numFmtId="43" fontId="21" fillId="2" borderId="16" xfId="0" applyNumberFormat="1" applyFont="1" applyFill="1" applyBorder="1" applyAlignment="1">
      <alignment horizontal="right" vertical="center" wrapText="1"/>
    </xf>
    <xf numFmtId="165" fontId="21" fillId="0" borderId="8" xfId="4" applyNumberFormat="1" applyFont="1" applyFill="1" applyBorder="1" applyAlignment="1" applyProtection="1">
      <alignment horizontal="right" vertical="center" wrapText="1"/>
    </xf>
    <xf numFmtId="165" fontId="21" fillId="0" borderId="6" xfId="4" applyNumberFormat="1" applyFont="1" applyFill="1" applyBorder="1" applyAlignment="1" applyProtection="1">
      <alignment horizontal="right" vertical="center" wrapText="1"/>
    </xf>
    <xf numFmtId="165" fontId="21" fillId="5" borderId="8" xfId="4" applyNumberFormat="1" applyFont="1" applyFill="1" applyBorder="1" applyAlignment="1" applyProtection="1">
      <alignment horizontal="center" vertical="center" wrapText="1"/>
    </xf>
    <xf numFmtId="165" fontId="21" fillId="5" borderId="6" xfId="4" applyNumberFormat="1" applyFont="1" applyFill="1" applyBorder="1" applyAlignment="1" applyProtection="1">
      <alignment horizontal="center" vertical="center" wrapText="1"/>
    </xf>
    <xf numFmtId="165" fontId="21" fillId="0" borderId="8" xfId="4" applyNumberFormat="1" applyFont="1" applyFill="1" applyBorder="1" applyAlignment="1" applyProtection="1">
      <alignment horizontal="center" vertical="center" wrapText="1"/>
    </xf>
    <xf numFmtId="165" fontId="21" fillId="0" borderId="6" xfId="4" applyNumberFormat="1" applyFont="1" applyFill="1" applyBorder="1" applyAlignment="1" applyProtection="1">
      <alignment horizontal="center" vertical="center" wrapText="1"/>
    </xf>
    <xf numFmtId="43" fontId="18" fillId="5" borderId="6" xfId="4" applyFont="1" applyFill="1" applyBorder="1" applyAlignment="1">
      <alignment horizontal="center" vertical="center" wrapText="1"/>
    </xf>
    <xf numFmtId="165" fontId="21" fillId="0" borderId="7" xfId="4" applyNumberFormat="1" applyFont="1" applyFill="1" applyBorder="1" applyAlignment="1" applyProtection="1">
      <alignment horizontal="right" vertical="center" wrapText="1"/>
    </xf>
    <xf numFmtId="165" fontId="21" fillId="2" borderId="20" xfId="4" applyNumberFormat="1" applyFont="1" applyFill="1" applyBorder="1" applyAlignment="1" applyProtection="1">
      <alignment horizontal="right" vertical="center" wrapText="1"/>
    </xf>
    <xf numFmtId="165" fontId="21" fillId="0" borderId="20" xfId="4" applyNumberFormat="1" applyFont="1" applyFill="1" applyBorder="1" applyAlignment="1" applyProtection="1">
      <alignment horizontal="right" vertical="center" wrapText="1"/>
    </xf>
    <xf numFmtId="43" fontId="18" fillId="5" borderId="8" xfId="4" applyFont="1" applyFill="1" applyBorder="1" applyAlignment="1">
      <alignment horizontal="right" vertical="center" wrapText="1"/>
    </xf>
    <xf numFmtId="43" fontId="18" fillId="5" borderId="6" xfId="4" applyFont="1" applyFill="1" applyBorder="1" applyAlignment="1">
      <alignment horizontal="right" vertical="center" wrapText="1"/>
    </xf>
    <xf numFmtId="8" fontId="21" fillId="0" borderId="16" xfId="1" applyNumberFormat="1" applyFont="1" applyFill="1" applyBorder="1" applyAlignment="1" applyProtection="1">
      <alignment horizontal="right" vertical="center" wrapText="1"/>
    </xf>
    <xf numFmtId="0" fontId="21" fillId="0" borderId="20" xfId="0" applyFont="1" applyBorder="1" applyAlignment="1">
      <alignment horizontal="right" vertical="center" wrapText="1"/>
    </xf>
    <xf numFmtId="0" fontId="21" fillId="0" borderId="16" xfId="0" applyFont="1" applyBorder="1" applyAlignment="1">
      <alignment horizontal="left" vertical="center" wrapText="1"/>
    </xf>
    <xf numFmtId="165" fontId="21" fillId="0" borderId="13" xfId="4" applyNumberFormat="1" applyFont="1" applyFill="1" applyBorder="1" applyAlignment="1" applyProtection="1">
      <alignment horizontal="right" vertical="center" wrapText="1"/>
    </xf>
    <xf numFmtId="165" fontId="21" fillId="0" borderId="15" xfId="4" applyNumberFormat="1" applyFont="1" applyFill="1" applyBorder="1" applyAlignment="1" applyProtection="1">
      <alignment horizontal="right" vertical="center" wrapText="1"/>
    </xf>
    <xf numFmtId="0" fontId="21" fillId="0" borderId="21" xfId="0" applyFont="1" applyBorder="1" applyAlignment="1">
      <alignment horizontal="left" vertical="center" wrapText="1"/>
    </xf>
    <xf numFmtId="164" fontId="21" fillId="0" borderId="21" xfId="0" applyNumberFormat="1" applyFont="1" applyBorder="1" applyAlignment="1">
      <alignment horizontal="right" vertical="center" wrapText="1"/>
    </xf>
    <xf numFmtId="0" fontId="21" fillId="0" borderId="7" xfId="0" applyFont="1" applyBorder="1" applyAlignment="1">
      <alignment horizontal="left" vertical="center"/>
    </xf>
    <xf numFmtId="0" fontId="13" fillId="5" borderId="5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165" fontId="21" fillId="0" borderId="20" xfId="4" applyNumberFormat="1" applyFont="1" applyFill="1" applyBorder="1" applyAlignment="1" applyProtection="1">
      <alignment horizontal="right" vertical="center" wrapText="1"/>
      <protection locked="0"/>
    </xf>
    <xf numFmtId="0" fontId="22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8" fontId="21" fillId="0" borderId="13" xfId="1" applyNumberFormat="1" applyFont="1" applyFill="1" applyBorder="1" applyAlignment="1" applyProtection="1">
      <alignment horizontal="center" vertical="center" wrapText="1"/>
    </xf>
    <xf numFmtId="8" fontId="21" fillId="0" borderId="15" xfId="1" applyNumberFormat="1" applyFont="1" applyFill="1" applyBorder="1" applyAlignment="1" applyProtection="1">
      <alignment horizontal="center" vertical="center" wrapText="1"/>
    </xf>
    <xf numFmtId="165" fontId="21" fillId="2" borderId="20" xfId="4" applyNumberFormat="1" applyFont="1" applyFill="1" applyBorder="1" applyAlignment="1" applyProtection="1">
      <alignment horizontal="right" vertical="center" wrapText="1"/>
      <protection locked="0"/>
    </xf>
    <xf numFmtId="165" fontId="21" fillId="0" borderId="17" xfId="4" applyNumberFormat="1" applyFont="1" applyFill="1" applyBorder="1" applyAlignment="1" applyProtection="1">
      <alignment horizontal="center" vertical="center" wrapText="1"/>
      <protection locked="0"/>
    </xf>
    <xf numFmtId="165" fontId="21" fillId="0" borderId="19" xfId="4" applyNumberFormat="1" applyFont="1" applyFill="1" applyBorder="1" applyAlignment="1" applyProtection="1">
      <alignment horizontal="center" vertical="center" wrapText="1"/>
      <protection locked="0"/>
    </xf>
    <xf numFmtId="0" fontId="21" fillId="2" borderId="20" xfId="0" applyFont="1" applyFill="1" applyBorder="1" applyAlignment="1">
      <alignment horizontal="left" vertical="center" wrapText="1"/>
    </xf>
    <xf numFmtId="164" fontId="21" fillId="0" borderId="22" xfId="0" applyNumberFormat="1" applyFont="1" applyBorder="1" applyAlignment="1">
      <alignment horizontal="center" vertical="center" wrapText="1"/>
    </xf>
    <xf numFmtId="164" fontId="21" fillId="0" borderId="23" xfId="0" applyNumberFormat="1" applyFont="1" applyBorder="1" applyAlignment="1">
      <alignment horizontal="center" vertical="center" wrapText="1"/>
    </xf>
    <xf numFmtId="165" fontId="21" fillId="2" borderId="22" xfId="4" applyNumberFormat="1" applyFont="1" applyFill="1" applyBorder="1" applyAlignment="1" applyProtection="1">
      <alignment horizontal="center" vertical="center" wrapText="1"/>
    </xf>
    <xf numFmtId="165" fontId="21" fillId="2" borderId="23" xfId="4" applyNumberFormat="1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21" fillId="2" borderId="21" xfId="0" applyFont="1" applyFill="1" applyBorder="1" applyAlignment="1">
      <alignment horizontal="left" vertical="center" wrapText="1"/>
    </xf>
    <xf numFmtId="0" fontId="21" fillId="5" borderId="5" xfId="0" applyFont="1" applyFill="1" applyBorder="1" applyAlignment="1">
      <alignment horizontal="center" vertical="center" wrapText="1"/>
    </xf>
    <xf numFmtId="0" fontId="21" fillId="5" borderId="6" xfId="0" applyFont="1" applyFill="1" applyBorder="1" applyAlignment="1">
      <alignment horizontal="center" vertical="center" wrapText="1"/>
    </xf>
    <xf numFmtId="0" fontId="21" fillId="2" borderId="16" xfId="0" applyFont="1" applyFill="1" applyBorder="1" applyAlignment="1">
      <alignment vertical="center"/>
    </xf>
    <xf numFmtId="0" fontId="21" fillId="2" borderId="21" xfId="0" applyFont="1" applyFill="1" applyBorder="1" applyAlignment="1">
      <alignment vertical="center"/>
    </xf>
    <xf numFmtId="0" fontId="21" fillId="2" borderId="16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/>
    </xf>
  </cellXfs>
  <cellStyles count="9">
    <cellStyle name="Moeda" xfId="1" builtinId="4"/>
    <cellStyle name="Moeda 2" xfId="6" xr:uid="{00000000-0005-0000-0000-000001000000}"/>
    <cellStyle name="Normal" xfId="0" builtinId="0"/>
    <cellStyle name="Normal 2" xfId="8" xr:uid="{00000000-0005-0000-0000-000003000000}"/>
    <cellStyle name="Porcentagem" xfId="2" builtinId="5"/>
    <cellStyle name="Porcentagem 2" xfId="5" xr:uid="{00000000-0005-0000-0000-000005000000}"/>
    <cellStyle name="Vírgula" xfId="7" builtinId="3"/>
    <cellStyle name="Vírgula 2" xfId="4" xr:uid="{00000000-0005-0000-0000-000007000000}"/>
    <cellStyle name="Vírgula 2 2" xfId="3" xr:uid="{00000000-0005-0000-0000-000008000000}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466725</xdr:colOff>
      <xdr:row>54</xdr:row>
      <xdr:rowOff>38100</xdr:rowOff>
    </xdr:to>
    <xdr:sp macro="" textlink="">
      <xdr:nvSpPr>
        <xdr:cNvPr id="2" name="Caixa de 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5953125" cy="8782050"/>
        </a:xfrm>
        <a:prstGeom prst="rect">
          <a:avLst/>
        </a:prstGeom>
        <a:solidFill>
          <a:srgbClr val="FFFFFF"/>
        </a:solidFill>
        <a:ln w="12700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000000"/>
          </a:outerShdw>
        </a:effec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rebuchet MS" pitchFamily="34" charset="0"/>
            <a:cs typeface="Times New Roman"/>
          </a:endParaRPr>
        </a:p>
        <a:p>
          <a:pPr algn="ctr" rtl="0">
            <a:defRPr sz="1000"/>
          </a:pPr>
          <a:r>
            <a:rPr lang="pt-BR" sz="2000" b="1" i="0" u="none" strike="noStrike" baseline="0">
              <a:solidFill>
                <a:srgbClr val="000000"/>
              </a:solidFill>
              <a:latin typeface="Trebuchet MS" pitchFamily="34" charset="0"/>
              <a:cs typeface="Arial"/>
            </a:rPr>
            <a:t>ANEXO III</a:t>
          </a:r>
          <a:endParaRPr lang="pt-BR" sz="2000" b="1" i="0" u="none" strike="noStrike" baseline="0">
            <a:solidFill>
              <a:srgbClr val="000000"/>
            </a:solidFill>
            <a:latin typeface="Trebuchet MS" pitchFamily="34" charset="0"/>
          </a:endParaRPr>
        </a:p>
        <a:p>
          <a:pPr algn="ctr" rtl="0">
            <a:defRPr sz="1000"/>
          </a:pPr>
          <a:endParaRPr lang="pt-BR" sz="1100" b="1" i="0" u="none" strike="noStrike" baseline="0">
            <a:solidFill>
              <a:srgbClr val="000000"/>
            </a:solidFill>
            <a:latin typeface="Trebuchet MS" pitchFamily="34" charset="0"/>
          </a:endParaRPr>
        </a:p>
        <a:p>
          <a:pPr algn="ctr" rtl="0">
            <a:defRPr sz="1000"/>
          </a:pPr>
          <a:r>
            <a:rPr lang="pt-BR" sz="1400" b="1" i="0" u="none" strike="noStrike" baseline="0">
              <a:solidFill>
                <a:srgbClr val="000000"/>
              </a:solidFill>
              <a:latin typeface="Trebuchet MS" pitchFamily="34" charset="0"/>
              <a:cs typeface="Arial"/>
            </a:rPr>
            <a:t>PLANILHA DE PREÇOS</a:t>
          </a:r>
        </a:p>
        <a:p>
          <a:pPr algn="ctr" rtl="0">
            <a:defRPr sz="1000"/>
          </a:pPr>
          <a:endParaRPr lang="pt-BR" sz="1400" b="1" i="0" u="none" strike="noStrike" baseline="0">
            <a:solidFill>
              <a:srgbClr val="000000"/>
            </a:solidFill>
            <a:latin typeface="Trebuchet MS" pitchFamily="34" charset="0"/>
            <a:cs typeface="Arial"/>
          </a:endParaRPr>
        </a:p>
        <a:p>
          <a:pPr algn="ctr" rtl="0">
            <a:defRPr sz="1000"/>
          </a:pPr>
          <a:r>
            <a:rPr lang="pt-BR" sz="1400" b="1" i="0" u="none" strike="noStrike" baseline="0">
              <a:solidFill>
                <a:srgbClr val="3333FF"/>
              </a:solidFill>
              <a:latin typeface="Trebuchet MS" pitchFamily="34" charset="0"/>
              <a:cs typeface="Arial"/>
            </a:rPr>
            <a:t>ADITAMENTO 1</a:t>
          </a:r>
        </a:p>
        <a:p>
          <a:pPr algn="ctr" rtl="0">
            <a:defRPr sz="1000"/>
          </a:pPr>
          <a:endParaRPr lang="pt-BR" sz="1400" b="1" i="0" u="none" strike="noStrike" baseline="0">
            <a:solidFill>
              <a:srgbClr val="000000"/>
            </a:solidFill>
            <a:latin typeface="Trebuchet MS" pitchFamily="34" charset="0"/>
            <a:cs typeface="Arial"/>
          </a:endParaRPr>
        </a:p>
        <a:p>
          <a:pPr algn="l" rtl="0">
            <a:defRPr sz="1000"/>
          </a:pPr>
          <a:endParaRPr lang="pt-BR" sz="1400" b="1" i="0" u="none" strike="noStrike" baseline="0">
            <a:solidFill>
              <a:srgbClr val="000000"/>
            </a:solidFill>
            <a:latin typeface="Trebuchet MS" pitchFamily="34" charset="0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"/>
  <sheetViews>
    <sheetView tabSelected="1" workbookViewId="0">
      <selection activeCell="N16" sqref="N16"/>
    </sheetView>
  </sheetViews>
  <sheetFormatPr defaultColWidth="9.140625" defaultRowHeight="12.75" x14ac:dyDescent="0.2"/>
  <cols>
    <col min="1" max="16384" width="9.140625" style="105"/>
  </cols>
  <sheetData/>
  <sheetProtection algorithmName="SHA-512" hashValue="PEZZTz/fVtRFEEaszswA8Bh6j51USY/8b3NQ/f1ynF6gQGcLcWk4uCzSkjMEtW33gbTxUtmi+v41K2wdc8/RMQ==" saltValue="35RsQ2Wmq3fOjVws3dPLQw==" spinCount="100000" sheet="1" objects="1" scenarios="1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3"/>
  <dimension ref="A1:Q11"/>
  <sheetViews>
    <sheetView view="pageBreakPreview" zoomScaleNormal="100" zoomScaleSheetLayoutView="100" workbookViewId="0">
      <selection activeCell="D6" sqref="D6:E6"/>
    </sheetView>
  </sheetViews>
  <sheetFormatPr defaultColWidth="9.140625" defaultRowHeight="16.5" x14ac:dyDescent="0.3"/>
  <cols>
    <col min="1" max="1" width="3.42578125" style="107" customWidth="1"/>
    <col min="2" max="2" width="12" style="118" customWidth="1"/>
    <col min="3" max="3" width="47.7109375" style="118" customWidth="1"/>
    <col min="4" max="5" width="15.28515625" style="107" customWidth="1"/>
    <col min="6" max="6" width="18.140625" style="107" customWidth="1"/>
    <col min="7" max="7" width="4.7109375" style="107" customWidth="1"/>
    <col min="8" max="9" width="5.85546875" style="107" customWidth="1"/>
    <col min="10" max="10" width="4.42578125" style="107" bestFit="1" customWidth="1"/>
    <col min="11" max="12" width="16.140625" style="107" bestFit="1" customWidth="1"/>
    <col min="13" max="13" width="12.42578125" style="107" bestFit="1" customWidth="1"/>
    <col min="14" max="14" width="22.28515625" style="107" bestFit="1" customWidth="1"/>
    <col min="15" max="15" width="21.140625" style="107" bestFit="1" customWidth="1"/>
    <col min="16" max="16" width="9.140625" style="107"/>
    <col min="17" max="17" width="16.85546875" style="107" bestFit="1" customWidth="1"/>
    <col min="18" max="16384" width="9.140625" style="107"/>
  </cols>
  <sheetData>
    <row r="1" spans="1:17" ht="18.75" x14ac:dyDescent="0.3">
      <c r="A1" s="130" t="s">
        <v>0</v>
      </c>
      <c r="B1" s="130"/>
      <c r="C1" s="130"/>
      <c r="D1" s="130"/>
      <c r="E1" s="130"/>
      <c r="F1" s="130"/>
      <c r="G1" s="130"/>
    </row>
    <row r="2" spans="1:17" ht="18" x14ac:dyDescent="0.35">
      <c r="A2" s="131" t="s">
        <v>1</v>
      </c>
      <c r="B2" s="131"/>
      <c r="C2" s="131"/>
      <c r="D2" s="131"/>
      <c r="E2" s="131"/>
      <c r="F2" s="131"/>
      <c r="G2" s="131"/>
    </row>
    <row r="3" spans="1:17" x14ac:dyDescent="0.3">
      <c r="A3" s="108"/>
      <c r="B3" s="108"/>
      <c r="C3" s="108"/>
      <c r="D3" s="108"/>
      <c r="E3" s="108"/>
      <c r="F3" s="108"/>
      <c r="G3" s="108"/>
    </row>
    <row r="4" spans="1:17" s="111" customFormat="1" ht="30" x14ac:dyDescent="0.25">
      <c r="A4" s="109"/>
      <c r="B4" s="110" t="s">
        <v>2</v>
      </c>
      <c r="C4" s="110" t="s">
        <v>3</v>
      </c>
      <c r="D4" s="110" t="s">
        <v>4</v>
      </c>
      <c r="E4" s="110" t="s">
        <v>5</v>
      </c>
      <c r="F4" s="110" t="s">
        <v>6</v>
      </c>
      <c r="G4" s="109"/>
    </row>
    <row r="5" spans="1:17" ht="30" x14ac:dyDescent="0.3">
      <c r="A5" s="108"/>
      <c r="B5" s="112" t="s">
        <v>7</v>
      </c>
      <c r="C5" s="122" t="s">
        <v>216</v>
      </c>
      <c r="D5" s="123">
        <f>ROUND('2. Planilha Auxiliar Resumo'!G26,2)</f>
        <v>0</v>
      </c>
      <c r="E5" s="124">
        <v>12</v>
      </c>
      <c r="F5" s="125">
        <f>ROUND(D5*E5,2)</f>
        <v>0</v>
      </c>
      <c r="G5" s="108"/>
    </row>
    <row r="6" spans="1:17" ht="30" x14ac:dyDescent="0.3">
      <c r="A6" s="108"/>
      <c r="B6" s="112" t="s">
        <v>9</v>
      </c>
      <c r="C6" s="122" t="s">
        <v>217</v>
      </c>
      <c r="D6" s="123">
        <v>0</v>
      </c>
      <c r="E6" s="124">
        <v>400</v>
      </c>
      <c r="F6" s="125">
        <f t="shared" ref="F6" si="0">ROUND(D6*E6,2)</f>
        <v>0</v>
      </c>
      <c r="G6" s="108"/>
    </row>
    <row r="7" spans="1:17" x14ac:dyDescent="0.3">
      <c r="A7" s="108"/>
      <c r="B7" s="127" t="s">
        <v>10</v>
      </c>
      <c r="C7" s="128"/>
      <c r="D7" s="128"/>
      <c r="E7" s="129"/>
      <c r="F7" s="120">
        <f>SUM(F5:F6)</f>
        <v>0</v>
      </c>
      <c r="G7" s="108"/>
      <c r="Q7" s="113"/>
    </row>
    <row r="8" spans="1:17" x14ac:dyDescent="0.3">
      <c r="A8" s="108"/>
      <c r="B8" s="114"/>
      <c r="C8" s="115"/>
      <c r="D8" s="108"/>
      <c r="E8" s="108"/>
      <c r="F8" s="108"/>
      <c r="G8" s="108"/>
    </row>
    <row r="9" spans="1:17" x14ac:dyDescent="0.3">
      <c r="A9" s="108"/>
      <c r="B9" s="116" t="s">
        <v>11</v>
      </c>
      <c r="C9" s="117"/>
      <c r="D9" s="108"/>
      <c r="E9" s="108"/>
      <c r="F9" s="108"/>
      <c r="G9" s="108"/>
    </row>
    <row r="10" spans="1:17" ht="336.75" customHeight="1" x14ac:dyDescent="0.3">
      <c r="A10" s="108"/>
      <c r="B10" s="132" t="s">
        <v>221</v>
      </c>
      <c r="C10" s="132"/>
      <c r="D10" s="132"/>
      <c r="E10" s="132"/>
      <c r="F10" s="132"/>
      <c r="G10" s="108"/>
    </row>
    <row r="11" spans="1:17" ht="103.5" customHeight="1" x14ac:dyDescent="0.3">
      <c r="B11" s="132"/>
      <c r="C11" s="132"/>
      <c r="D11" s="132"/>
      <c r="E11" s="132"/>
      <c r="F11" s="132"/>
    </row>
  </sheetData>
  <sheetProtection algorithmName="SHA-512" hashValue="jihLmrd9/qCB7ysxPD/FDsuIjiN218zLjyVQcFeuY/1Inr7cNF8Y8qrEv1pQ/kbuffToNNFn5zLklYJ3NSGVGg==" saltValue="BZOfvW4Erh7cNqfGe6h+Uw==" spinCount="100000" sheet="1" objects="1" scenarios="1"/>
  <protectedRanges>
    <protectedRange sqref="D6" name="Intervalo2_2"/>
  </protectedRanges>
  <mergeCells count="4">
    <mergeCell ref="B7:E7"/>
    <mergeCell ref="A1:G1"/>
    <mergeCell ref="A2:G2"/>
    <mergeCell ref="B10:F11"/>
  </mergeCells>
  <pageMargins left="0.511811024" right="0.511811024" top="0.78740157499999996" bottom="0.78740157499999996" header="0.31496062000000002" footer="0.31496062000000002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4"/>
  <dimension ref="A1:L27"/>
  <sheetViews>
    <sheetView view="pageBreakPreview" zoomScaleNormal="100" zoomScaleSheetLayoutView="100" workbookViewId="0">
      <selection activeCell="E32" sqref="E32"/>
    </sheetView>
  </sheetViews>
  <sheetFormatPr defaultColWidth="9.140625" defaultRowHeight="16.5" x14ac:dyDescent="0.3"/>
  <cols>
    <col min="1" max="1" width="1.28515625" style="2" customWidth="1"/>
    <col min="2" max="2" width="2.140625" style="2" customWidth="1"/>
    <col min="3" max="3" width="6.140625" style="2" customWidth="1"/>
    <col min="4" max="5" width="9.140625" style="2"/>
    <col min="6" max="6" width="27.42578125" style="2" customWidth="1"/>
    <col min="7" max="7" width="22.140625" style="2" customWidth="1"/>
    <col min="8" max="8" width="9.140625" style="1"/>
    <col min="9" max="9" width="18.7109375" style="1" customWidth="1"/>
    <col min="10" max="10" width="10.140625" style="1" bestFit="1" customWidth="1"/>
    <col min="11" max="11" width="14.5703125" style="1" bestFit="1" customWidth="1"/>
    <col min="12" max="16384" width="9.140625" style="1"/>
  </cols>
  <sheetData>
    <row r="1" spans="1:8" ht="18.75" x14ac:dyDescent="0.3">
      <c r="A1" s="145" t="s">
        <v>12</v>
      </c>
      <c r="B1" s="145"/>
      <c r="C1" s="145"/>
      <c r="D1" s="145"/>
      <c r="E1" s="145"/>
      <c r="F1" s="145"/>
      <c r="G1" s="145"/>
    </row>
    <row r="2" spans="1:8" ht="18" x14ac:dyDescent="0.35">
      <c r="A2" s="146" t="s">
        <v>13</v>
      </c>
      <c r="B2" s="146"/>
      <c r="C2" s="146"/>
      <c r="D2" s="146"/>
      <c r="E2" s="146"/>
      <c r="F2" s="146"/>
      <c r="G2" s="146"/>
    </row>
    <row r="3" spans="1:8" ht="18" x14ac:dyDescent="0.35">
      <c r="A3" s="119"/>
      <c r="B3" s="119"/>
      <c r="C3" s="119"/>
      <c r="D3" s="119"/>
      <c r="E3" s="119"/>
      <c r="F3" s="119"/>
      <c r="G3" s="119"/>
    </row>
    <row r="5" spans="1:8" ht="17.25" x14ac:dyDescent="0.35">
      <c r="B5" s="133" t="s">
        <v>14</v>
      </c>
      <c r="C5" s="134"/>
      <c r="D5" s="134"/>
      <c r="E5" s="134"/>
      <c r="F5" s="135"/>
      <c r="G5" s="26" t="s">
        <v>15</v>
      </c>
    </row>
    <row r="6" spans="1:8" x14ac:dyDescent="0.3">
      <c r="B6" s="22">
        <v>1</v>
      </c>
      <c r="C6" s="143" t="s">
        <v>16</v>
      </c>
      <c r="D6" s="143"/>
      <c r="E6" s="143"/>
      <c r="F6" s="147"/>
      <c r="G6" s="23">
        <f>ROUND('3. Planilha Auxiliar Pessoal'!H129,2)</f>
        <v>0</v>
      </c>
    </row>
    <row r="7" spans="1:8" x14ac:dyDescent="0.3">
      <c r="B7" s="24">
        <v>2</v>
      </c>
      <c r="C7" s="142" t="s">
        <v>17</v>
      </c>
      <c r="D7" s="142"/>
      <c r="E7" s="142"/>
      <c r="F7" s="144"/>
      <c r="G7" s="25">
        <f>ROUND('4. Memória Cálculo Fixos'!C10,2)</f>
        <v>0</v>
      </c>
    </row>
    <row r="8" spans="1:8" x14ac:dyDescent="0.3">
      <c r="B8" s="24">
        <v>3</v>
      </c>
      <c r="C8" s="142" t="s">
        <v>18</v>
      </c>
      <c r="D8" s="142"/>
      <c r="E8" s="142"/>
      <c r="F8" s="144"/>
      <c r="G8" s="25">
        <f>ROUND('4. Memória Cálculo Fixos'!C36,2)</f>
        <v>0</v>
      </c>
      <c r="H8" s="7"/>
    </row>
    <row r="9" spans="1:8" hidden="1" x14ac:dyDescent="0.3">
      <c r="B9" s="24">
        <v>4</v>
      </c>
      <c r="C9" s="142" t="s">
        <v>19</v>
      </c>
      <c r="D9" s="142"/>
      <c r="E9" s="142"/>
      <c r="F9" s="144"/>
      <c r="G9" s="25">
        <f>ROUND('4. Memória Cálculo Fixos'!C28,2)</f>
        <v>0</v>
      </c>
      <c r="H9" s="7"/>
    </row>
    <row r="10" spans="1:8" x14ac:dyDescent="0.3">
      <c r="B10" s="24">
        <v>4</v>
      </c>
      <c r="C10" s="142" t="s">
        <v>20</v>
      </c>
      <c r="D10" s="142"/>
      <c r="E10" s="142"/>
      <c r="F10" s="144"/>
      <c r="G10" s="25">
        <f>ROUND('4. Memória Cálculo Fixos'!C45,2)</f>
        <v>0</v>
      </c>
    </row>
    <row r="11" spans="1:8" x14ac:dyDescent="0.3">
      <c r="B11" s="24">
        <v>5</v>
      </c>
      <c r="C11" s="142" t="s">
        <v>21</v>
      </c>
      <c r="D11" s="142"/>
      <c r="E11" s="142"/>
      <c r="F11" s="144"/>
      <c r="G11" s="25">
        <f>ROUND('4. Memória Cálculo Fixos'!C52,2)</f>
        <v>0</v>
      </c>
    </row>
    <row r="12" spans="1:8" x14ac:dyDescent="0.3">
      <c r="B12" s="24">
        <v>6</v>
      </c>
      <c r="C12" s="142" t="s">
        <v>22</v>
      </c>
      <c r="D12" s="142"/>
      <c r="E12" s="142"/>
      <c r="F12" s="144"/>
      <c r="G12" s="25">
        <f>ROUND('4. Memória Cálculo Fixos'!C61,2)</f>
        <v>0</v>
      </c>
    </row>
    <row r="13" spans="1:8" s="99" customFormat="1" ht="16.5" customHeight="1" x14ac:dyDescent="0.25">
      <c r="A13" s="97"/>
      <c r="B13" s="136" t="s">
        <v>23</v>
      </c>
      <c r="C13" s="137"/>
      <c r="D13" s="137"/>
      <c r="E13" s="137"/>
      <c r="F13" s="138"/>
      <c r="G13" s="98">
        <f>SUM(G6:G12)</f>
        <v>0</v>
      </c>
    </row>
    <row r="14" spans="1:8" x14ac:dyDescent="0.3">
      <c r="B14" s="133" t="s">
        <v>24</v>
      </c>
      <c r="C14" s="134"/>
      <c r="D14" s="134"/>
      <c r="E14" s="134"/>
      <c r="F14" s="135"/>
      <c r="G14" s="100">
        <f>ROUND(G13/12,2)</f>
        <v>0</v>
      </c>
    </row>
    <row r="15" spans="1:8" ht="18" x14ac:dyDescent="0.35">
      <c r="B15" s="3"/>
    </row>
    <row r="16" spans="1:8" ht="17.25" x14ac:dyDescent="0.35">
      <c r="B16" s="133" t="s">
        <v>215</v>
      </c>
      <c r="C16" s="134"/>
      <c r="D16" s="134"/>
      <c r="E16" s="134"/>
      <c r="F16" s="134"/>
      <c r="G16" s="135"/>
    </row>
    <row r="17" spans="1:12" x14ac:dyDescent="0.3">
      <c r="B17" s="22">
        <v>1</v>
      </c>
      <c r="C17" s="143" t="s">
        <v>25</v>
      </c>
      <c r="D17" s="143"/>
      <c r="E17" s="143"/>
      <c r="F17" s="143"/>
      <c r="G17" s="23">
        <f>ROUND('5. Memória Cálculo Variáveis'!C6,2)</f>
        <v>0</v>
      </c>
      <c r="I17" s="13"/>
      <c r="J17" s="10"/>
    </row>
    <row r="18" spans="1:12" x14ac:dyDescent="0.3">
      <c r="B18" s="24">
        <v>2</v>
      </c>
      <c r="C18" s="142" t="s">
        <v>26</v>
      </c>
      <c r="D18" s="142"/>
      <c r="E18" s="142"/>
      <c r="F18" s="142"/>
      <c r="G18" s="25">
        <f>ROUND('5. Memória Cálculo Variáveis'!C12,2)</f>
        <v>0</v>
      </c>
      <c r="I18" s="13"/>
      <c r="J18" s="10"/>
    </row>
    <row r="19" spans="1:12" x14ac:dyDescent="0.3">
      <c r="B19" s="24">
        <v>3</v>
      </c>
      <c r="C19" s="142" t="s">
        <v>27</v>
      </c>
      <c r="D19" s="142"/>
      <c r="E19" s="142"/>
      <c r="F19" s="142"/>
      <c r="G19" s="25">
        <f>ROUND('5. Memória Cálculo Variáveis'!C18,2)</f>
        <v>0</v>
      </c>
      <c r="I19" s="13"/>
      <c r="J19" s="10"/>
    </row>
    <row r="20" spans="1:12" x14ac:dyDescent="0.3">
      <c r="B20" s="24">
        <v>4</v>
      </c>
      <c r="C20" s="142" t="s">
        <v>28</v>
      </c>
      <c r="D20" s="142"/>
      <c r="E20" s="142"/>
      <c r="F20" s="142"/>
      <c r="G20" s="25">
        <f>ROUND('5. Memória Cálculo Variáveis'!C24,2)</f>
        <v>0</v>
      </c>
      <c r="I20" s="13"/>
      <c r="J20" s="10"/>
      <c r="K20" s="4"/>
    </row>
    <row r="21" spans="1:12" x14ac:dyDescent="0.3">
      <c r="B21" s="24">
        <v>5</v>
      </c>
      <c r="C21" s="142" t="s">
        <v>29</v>
      </c>
      <c r="D21" s="142"/>
      <c r="E21" s="142"/>
      <c r="F21" s="142"/>
      <c r="G21" s="25">
        <f>ROUND('5. Memória Cálculo Variáveis'!C30,2)</f>
        <v>0</v>
      </c>
      <c r="I21" s="13"/>
      <c r="J21" s="10"/>
    </row>
    <row r="22" spans="1:12" x14ac:dyDescent="0.3">
      <c r="B22" s="24">
        <v>6</v>
      </c>
      <c r="C22" s="142" t="s">
        <v>22</v>
      </c>
      <c r="D22" s="142"/>
      <c r="E22" s="142"/>
      <c r="F22" s="142"/>
      <c r="G22" s="25">
        <f>ROUND('5. Memória Cálculo Variáveis'!C37,2)</f>
        <v>0</v>
      </c>
      <c r="I22" s="13"/>
      <c r="J22" s="10"/>
    </row>
    <row r="23" spans="1:12" s="6" customFormat="1" ht="16.5" customHeight="1" x14ac:dyDescent="0.3">
      <c r="A23" s="94"/>
      <c r="B23" s="136" t="s">
        <v>23</v>
      </c>
      <c r="C23" s="137"/>
      <c r="D23" s="137"/>
      <c r="E23" s="137"/>
      <c r="F23" s="137"/>
      <c r="G23" s="98">
        <f>SUM(G17:G22)</f>
        <v>0</v>
      </c>
      <c r="I23" s="95"/>
      <c r="K23" s="96"/>
      <c r="L23" s="101"/>
    </row>
    <row r="24" spans="1:12" x14ac:dyDescent="0.3">
      <c r="B24" s="133" t="s">
        <v>30</v>
      </c>
      <c r="C24" s="134"/>
      <c r="D24" s="134"/>
      <c r="E24" s="134"/>
      <c r="F24" s="135"/>
      <c r="G24" s="100">
        <f>ROUND(G23/6/12,2)</f>
        <v>0</v>
      </c>
    </row>
    <row r="26" spans="1:12" x14ac:dyDescent="0.3">
      <c r="B26" s="133" t="s">
        <v>219</v>
      </c>
      <c r="C26" s="134"/>
      <c r="D26" s="134"/>
      <c r="E26" s="134"/>
      <c r="F26" s="135"/>
      <c r="G26" s="100">
        <f>G14+(G24*7)</f>
        <v>0</v>
      </c>
    </row>
    <row r="27" spans="1:12" ht="18" x14ac:dyDescent="0.35">
      <c r="B27" s="139" t="s">
        <v>31</v>
      </c>
      <c r="C27" s="140"/>
      <c r="D27" s="140"/>
      <c r="E27" s="140"/>
      <c r="F27" s="141"/>
      <c r="G27" s="106">
        <f>G26*12</f>
        <v>0</v>
      </c>
    </row>
  </sheetData>
  <mergeCells count="23">
    <mergeCell ref="C9:F9"/>
    <mergeCell ref="C12:F12"/>
    <mergeCell ref="C11:F11"/>
    <mergeCell ref="C10:F10"/>
    <mergeCell ref="A1:G1"/>
    <mergeCell ref="A2:G2"/>
    <mergeCell ref="C8:F8"/>
    <mergeCell ref="C7:F7"/>
    <mergeCell ref="C6:F6"/>
    <mergeCell ref="B5:F5"/>
    <mergeCell ref="B24:F24"/>
    <mergeCell ref="B13:F13"/>
    <mergeCell ref="B26:F26"/>
    <mergeCell ref="B27:F27"/>
    <mergeCell ref="B14:F14"/>
    <mergeCell ref="B23:F23"/>
    <mergeCell ref="B16:G16"/>
    <mergeCell ref="C20:F20"/>
    <mergeCell ref="C21:F21"/>
    <mergeCell ref="C22:F22"/>
    <mergeCell ref="C17:F17"/>
    <mergeCell ref="C18:F18"/>
    <mergeCell ref="C19:F19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6"/>
  <dimension ref="A1:S138"/>
  <sheetViews>
    <sheetView view="pageBreakPreview" zoomScale="90" zoomScaleNormal="100" zoomScaleSheetLayoutView="90" workbookViewId="0">
      <selection activeCell="G17" sqref="G17"/>
    </sheetView>
  </sheetViews>
  <sheetFormatPr defaultColWidth="9.140625" defaultRowHeight="16.5" x14ac:dyDescent="0.3"/>
  <cols>
    <col min="1" max="1" width="6.28515625" style="1" customWidth="1"/>
    <col min="2" max="5" width="9.140625" style="1"/>
    <col min="6" max="6" width="7.28515625" style="1" customWidth="1"/>
    <col min="7" max="7" width="9.42578125" style="1" customWidth="1"/>
    <col min="8" max="8" width="9.28515625" style="1" bestFit="1" customWidth="1"/>
    <col min="9" max="15" width="10.85546875" style="1" customWidth="1"/>
    <col min="16" max="16" width="15" style="1" bestFit="1" customWidth="1"/>
    <col min="17" max="17" width="10.7109375" style="1" bestFit="1" customWidth="1"/>
    <col min="18" max="18" width="9.28515625" style="1" customWidth="1"/>
    <col min="19" max="19" width="11" style="1" bestFit="1" customWidth="1"/>
    <col min="20" max="16384" width="9.140625" style="1"/>
  </cols>
  <sheetData>
    <row r="1" spans="1:19" ht="43.15" customHeight="1" x14ac:dyDescent="0.3">
      <c r="A1" s="239" t="s">
        <v>32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1"/>
    </row>
    <row r="2" spans="1:19" ht="77.25" customHeight="1" x14ac:dyDescent="0.3">
      <c r="A2" s="32" t="s">
        <v>3</v>
      </c>
      <c r="B2" s="183" t="s">
        <v>33</v>
      </c>
      <c r="C2" s="183"/>
      <c r="D2" s="183"/>
      <c r="E2" s="183"/>
      <c r="F2" s="183"/>
      <c r="G2" s="183"/>
      <c r="H2" s="183" t="s">
        <v>34</v>
      </c>
      <c r="I2" s="183"/>
      <c r="J2" s="183" t="s">
        <v>35</v>
      </c>
      <c r="K2" s="183"/>
      <c r="L2" s="183" t="s">
        <v>36</v>
      </c>
      <c r="M2" s="183"/>
      <c r="N2" s="184" t="s">
        <v>37</v>
      </c>
      <c r="O2" s="185"/>
      <c r="P2" s="184" t="s">
        <v>210</v>
      </c>
      <c r="Q2" s="185"/>
      <c r="R2" s="184" t="s">
        <v>38</v>
      </c>
      <c r="S2" s="185"/>
    </row>
    <row r="3" spans="1:19" ht="7.5" customHeight="1" x14ac:dyDescent="0.3">
      <c r="A3" s="39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40"/>
    </row>
    <row r="4" spans="1:19" ht="14.45" customHeight="1" x14ac:dyDescent="0.3">
      <c r="A4" s="183" t="s">
        <v>39</v>
      </c>
      <c r="B4" s="242"/>
      <c r="C4" s="242"/>
      <c r="D4" s="242"/>
      <c r="E4" s="242"/>
      <c r="F4" s="242"/>
      <c r="G4" s="242"/>
      <c r="H4" s="183" t="s">
        <v>40</v>
      </c>
      <c r="I4" s="183"/>
      <c r="J4" s="183" t="s">
        <v>40</v>
      </c>
      <c r="K4" s="183"/>
      <c r="L4" s="183" t="s">
        <v>40</v>
      </c>
      <c r="M4" s="183"/>
      <c r="N4" s="183" t="s">
        <v>40</v>
      </c>
      <c r="O4" s="183"/>
      <c r="P4" s="184" t="s">
        <v>40</v>
      </c>
      <c r="Q4" s="185"/>
      <c r="R4" s="184" t="s">
        <v>40</v>
      </c>
      <c r="S4" s="185"/>
    </row>
    <row r="5" spans="1:19" ht="27" customHeight="1" x14ac:dyDescent="0.3">
      <c r="A5" s="47">
        <v>1</v>
      </c>
      <c r="B5" s="230" t="s">
        <v>41</v>
      </c>
      <c r="C5" s="230"/>
      <c r="D5" s="230"/>
      <c r="E5" s="230"/>
      <c r="F5" s="230"/>
      <c r="G5" s="230"/>
      <c r="H5" s="228"/>
      <c r="I5" s="228"/>
      <c r="J5" s="228"/>
      <c r="K5" s="228"/>
      <c r="L5" s="228"/>
      <c r="M5" s="228"/>
      <c r="N5" s="228"/>
      <c r="O5" s="228"/>
      <c r="P5" s="243"/>
      <c r="Q5" s="244"/>
      <c r="R5" s="228"/>
      <c r="S5" s="228"/>
    </row>
    <row r="6" spans="1:19" ht="117.75" customHeight="1" x14ac:dyDescent="0.3">
      <c r="A6" s="48">
        <v>2</v>
      </c>
      <c r="B6" s="196" t="s">
        <v>42</v>
      </c>
      <c r="C6" s="196"/>
      <c r="D6" s="196"/>
      <c r="E6" s="196"/>
      <c r="F6" s="196"/>
      <c r="G6" s="196"/>
      <c r="H6" s="229" t="s">
        <v>213</v>
      </c>
      <c r="I6" s="229"/>
      <c r="J6" s="229" t="s">
        <v>213</v>
      </c>
      <c r="K6" s="229"/>
      <c r="L6" s="229" t="s">
        <v>213</v>
      </c>
      <c r="M6" s="229"/>
      <c r="N6" s="229" t="s">
        <v>213</v>
      </c>
      <c r="O6" s="229"/>
      <c r="P6" s="229" t="s">
        <v>213</v>
      </c>
      <c r="Q6" s="229"/>
      <c r="R6" s="229" t="s">
        <v>43</v>
      </c>
      <c r="S6" s="229"/>
    </row>
    <row r="7" spans="1:19" ht="16.5" customHeight="1" x14ac:dyDescent="0.3">
      <c r="A7" s="49">
        <v>3</v>
      </c>
      <c r="B7" s="233" t="s">
        <v>44</v>
      </c>
      <c r="C7" s="233"/>
      <c r="D7" s="233"/>
      <c r="E7" s="233"/>
      <c r="F7" s="233"/>
      <c r="G7" s="233"/>
      <c r="H7" s="234">
        <v>45778</v>
      </c>
      <c r="I7" s="234"/>
      <c r="J7" s="234">
        <f>H7</f>
        <v>45778</v>
      </c>
      <c r="K7" s="234"/>
      <c r="L7" s="234">
        <f>H7</f>
        <v>45778</v>
      </c>
      <c r="M7" s="234"/>
      <c r="N7" s="234">
        <f>H7</f>
        <v>45778</v>
      </c>
      <c r="O7" s="234"/>
      <c r="P7" s="249">
        <f>H7</f>
        <v>45778</v>
      </c>
      <c r="Q7" s="250"/>
      <c r="R7" s="249">
        <v>45717</v>
      </c>
      <c r="S7" s="250"/>
    </row>
    <row r="8" spans="1:19" x14ac:dyDescent="0.3">
      <c r="A8" s="183" t="s">
        <v>218</v>
      </c>
      <c r="B8" s="183"/>
      <c r="C8" s="183"/>
      <c r="D8" s="183"/>
      <c r="E8" s="183"/>
      <c r="F8" s="183"/>
      <c r="G8" s="183"/>
      <c r="H8" s="33" t="s">
        <v>45</v>
      </c>
      <c r="I8" s="33" t="s">
        <v>46</v>
      </c>
      <c r="J8" s="33" t="s">
        <v>45</v>
      </c>
      <c r="K8" s="33" t="s">
        <v>46</v>
      </c>
      <c r="L8" s="33" t="s">
        <v>45</v>
      </c>
      <c r="M8" s="33" t="s">
        <v>46</v>
      </c>
      <c r="N8" s="33" t="s">
        <v>45</v>
      </c>
      <c r="O8" s="33" t="s">
        <v>46</v>
      </c>
      <c r="P8" s="33" t="s">
        <v>45</v>
      </c>
      <c r="Q8" s="33" t="s">
        <v>46</v>
      </c>
      <c r="R8" s="33" t="s">
        <v>45</v>
      </c>
      <c r="S8" s="33" t="s">
        <v>46</v>
      </c>
    </row>
    <row r="9" spans="1:19" x14ac:dyDescent="0.3">
      <c r="A9" s="37">
        <v>4</v>
      </c>
      <c r="B9" s="235" t="s">
        <v>47</v>
      </c>
      <c r="C9" s="235"/>
      <c r="D9" s="235"/>
      <c r="E9" s="235"/>
      <c r="F9" s="235"/>
      <c r="G9" s="235"/>
      <c r="H9" s="34">
        <v>0.03</v>
      </c>
      <c r="I9" s="35">
        <f>H5*H9</f>
        <v>0</v>
      </c>
      <c r="J9" s="34">
        <v>0.03</v>
      </c>
      <c r="K9" s="35">
        <f>J5*J9</f>
        <v>0</v>
      </c>
      <c r="L9" s="34">
        <v>0.03</v>
      </c>
      <c r="M9" s="35">
        <f>L5*L9</f>
        <v>0</v>
      </c>
      <c r="N9" s="34">
        <v>0.03</v>
      </c>
      <c r="O9" s="35">
        <f>N5*N9</f>
        <v>0</v>
      </c>
      <c r="P9" s="34">
        <f>H9</f>
        <v>0.03</v>
      </c>
      <c r="Q9" s="38">
        <f>J5*J9</f>
        <v>0</v>
      </c>
      <c r="R9" s="34">
        <f>J9</f>
        <v>0.03</v>
      </c>
      <c r="S9" s="38">
        <f>R5*P9</f>
        <v>0</v>
      </c>
    </row>
    <row r="10" spans="1:19" ht="7.5" customHeight="1" x14ac:dyDescent="0.3">
      <c r="A10" s="3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40"/>
    </row>
    <row r="11" spans="1:19" x14ac:dyDescent="0.3">
      <c r="A11" s="45" t="s">
        <v>48</v>
      </c>
      <c r="B11" s="183" t="s">
        <v>49</v>
      </c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</row>
    <row r="12" spans="1:19" ht="14.45" customHeight="1" x14ac:dyDescent="0.3">
      <c r="A12" s="184" t="s">
        <v>50</v>
      </c>
      <c r="B12" s="236"/>
      <c r="C12" s="236"/>
      <c r="D12" s="236"/>
      <c r="E12" s="236"/>
      <c r="F12" s="236"/>
      <c r="G12" s="237"/>
      <c r="H12" s="183" t="s">
        <v>46</v>
      </c>
      <c r="I12" s="183"/>
      <c r="J12" s="183" t="s">
        <v>46</v>
      </c>
      <c r="K12" s="183"/>
      <c r="L12" s="183" t="s">
        <v>46</v>
      </c>
      <c r="M12" s="183"/>
      <c r="N12" s="183" t="s">
        <v>46</v>
      </c>
      <c r="O12" s="183"/>
      <c r="P12" s="184" t="s">
        <v>46</v>
      </c>
      <c r="Q12" s="185"/>
      <c r="R12" s="184" t="s">
        <v>46</v>
      </c>
      <c r="S12" s="185"/>
    </row>
    <row r="13" spans="1:19" x14ac:dyDescent="0.3">
      <c r="A13" s="47" t="s">
        <v>51</v>
      </c>
      <c r="B13" s="230" t="s">
        <v>52</v>
      </c>
      <c r="C13" s="230"/>
      <c r="D13" s="230"/>
      <c r="E13" s="230"/>
      <c r="F13" s="230"/>
      <c r="G13" s="230"/>
      <c r="H13" s="212">
        <f>(H5+I9)*120</f>
        <v>0</v>
      </c>
      <c r="I13" s="212"/>
      <c r="J13" s="231">
        <f>(J5+K9)*180</f>
        <v>0</v>
      </c>
      <c r="K13" s="232"/>
      <c r="L13" s="212">
        <f>(L5+M9)*220</f>
        <v>0</v>
      </c>
      <c r="M13" s="212"/>
      <c r="N13" s="212">
        <f>(N5+O9)*220</f>
        <v>0</v>
      </c>
      <c r="O13" s="212"/>
      <c r="P13" s="212">
        <f>(P5+Q9)*220</f>
        <v>0</v>
      </c>
      <c r="Q13" s="212"/>
      <c r="R13" s="212">
        <f>R5+S9</f>
        <v>0</v>
      </c>
      <c r="S13" s="212"/>
    </row>
    <row r="14" spans="1:19" ht="33" customHeight="1" x14ac:dyDescent="0.3">
      <c r="A14" s="48" t="s">
        <v>53</v>
      </c>
      <c r="B14" s="196" t="s">
        <v>54</v>
      </c>
      <c r="C14" s="196"/>
      <c r="D14" s="196"/>
      <c r="E14" s="196"/>
      <c r="F14" s="196"/>
      <c r="G14" s="196"/>
      <c r="H14" s="238">
        <v>0</v>
      </c>
      <c r="I14" s="238"/>
      <c r="J14" s="238">
        <v>0</v>
      </c>
      <c r="K14" s="238"/>
      <c r="L14" s="238">
        <v>0</v>
      </c>
      <c r="M14" s="238"/>
      <c r="N14" s="238">
        <f>N13*0.3</f>
        <v>0</v>
      </c>
      <c r="O14" s="238"/>
      <c r="P14" s="238">
        <f>P13*0.3</f>
        <v>0</v>
      </c>
      <c r="Q14" s="238"/>
      <c r="R14" s="246" t="s">
        <v>55</v>
      </c>
      <c r="S14" s="247"/>
    </row>
    <row r="15" spans="1:19" ht="27" customHeight="1" x14ac:dyDescent="0.3">
      <c r="A15" s="48" t="s">
        <v>56</v>
      </c>
      <c r="B15" s="248" t="s">
        <v>57</v>
      </c>
      <c r="C15" s="248"/>
      <c r="D15" s="248"/>
      <c r="E15" s="248"/>
      <c r="F15" s="248"/>
      <c r="G15" s="248"/>
      <c r="H15" s="245" t="s">
        <v>58</v>
      </c>
      <c r="I15" s="245"/>
      <c r="J15" s="245" t="s">
        <v>58</v>
      </c>
      <c r="K15" s="245"/>
      <c r="L15" s="245" t="s">
        <v>58</v>
      </c>
      <c r="M15" s="245"/>
      <c r="N15" s="245" t="s">
        <v>58</v>
      </c>
      <c r="O15" s="245"/>
      <c r="P15" s="246">
        <f>P13*0.1</f>
        <v>0</v>
      </c>
      <c r="Q15" s="247"/>
      <c r="R15" s="246" t="s">
        <v>55</v>
      </c>
      <c r="S15" s="247"/>
    </row>
    <row r="16" spans="1:19" x14ac:dyDescent="0.3">
      <c r="A16" s="190" t="s">
        <v>59</v>
      </c>
      <c r="B16" s="191"/>
      <c r="C16" s="191"/>
      <c r="D16" s="191"/>
      <c r="E16" s="191"/>
      <c r="F16" s="191"/>
      <c r="G16" s="192"/>
      <c r="H16" s="214">
        <f>SUM(H13:I15)</f>
        <v>0</v>
      </c>
      <c r="I16" s="214"/>
      <c r="J16" s="214">
        <f>SUM(J13:K15)</f>
        <v>0</v>
      </c>
      <c r="K16" s="214"/>
      <c r="L16" s="214">
        <f>SUM(L13:M15)</f>
        <v>0</v>
      </c>
      <c r="M16" s="214"/>
      <c r="N16" s="214">
        <f>SUM(N13:O15)</f>
        <v>0</v>
      </c>
      <c r="O16" s="214"/>
      <c r="P16" s="218">
        <f>SUM(P13:Q15)</f>
        <v>0</v>
      </c>
      <c r="Q16" s="219"/>
      <c r="R16" s="218">
        <f>SUM(R13:U15)</f>
        <v>0</v>
      </c>
      <c r="S16" s="219"/>
    </row>
    <row r="17" spans="1:19" x14ac:dyDescent="0.3">
      <c r="A17" s="36" t="s">
        <v>60</v>
      </c>
      <c r="B17" s="186" t="s">
        <v>61</v>
      </c>
      <c r="C17" s="187"/>
      <c r="D17" s="187"/>
      <c r="E17" s="187"/>
      <c r="F17" s="188"/>
      <c r="G17" s="126">
        <v>5.0000000000000001E-3</v>
      </c>
      <c r="H17" s="223">
        <f>H16*G17</f>
        <v>0</v>
      </c>
      <c r="I17" s="223"/>
      <c r="J17" s="223">
        <f>J16*G17</f>
        <v>0</v>
      </c>
      <c r="K17" s="223"/>
      <c r="L17" s="223">
        <f>L16*G17</f>
        <v>0</v>
      </c>
      <c r="M17" s="223"/>
      <c r="N17" s="223">
        <f>N16*G17</f>
        <v>0</v>
      </c>
      <c r="O17" s="223"/>
      <c r="P17" s="220">
        <f>P16*G17</f>
        <v>0</v>
      </c>
      <c r="Q17" s="221"/>
      <c r="R17" s="220">
        <f>R16*G17</f>
        <v>0</v>
      </c>
      <c r="S17" s="221"/>
    </row>
    <row r="18" spans="1:19" x14ac:dyDescent="0.3">
      <c r="A18" s="175" t="s">
        <v>62</v>
      </c>
      <c r="B18" s="176"/>
      <c r="C18" s="176"/>
      <c r="D18" s="176"/>
      <c r="E18" s="176"/>
      <c r="F18" s="176"/>
      <c r="G18" s="177"/>
      <c r="H18" s="226">
        <f>SUM(H16:H17)</f>
        <v>0</v>
      </c>
      <c r="I18" s="227"/>
      <c r="J18" s="226">
        <f>SUM(J16:J17)</f>
        <v>0</v>
      </c>
      <c r="K18" s="227"/>
      <c r="L18" s="226">
        <f>SUM(L16:L17)</f>
        <v>0</v>
      </c>
      <c r="M18" s="227"/>
      <c r="N18" s="226">
        <f>SUM(N16:N17)</f>
        <v>0</v>
      </c>
      <c r="O18" s="227"/>
      <c r="P18" s="203">
        <f>SUM(P16:P17)</f>
        <v>0</v>
      </c>
      <c r="Q18" s="204"/>
      <c r="R18" s="203">
        <f>SUM(R16:R17)</f>
        <v>0</v>
      </c>
      <c r="S18" s="204"/>
    </row>
    <row r="19" spans="1:19" ht="7.5" customHeight="1" x14ac:dyDescent="0.3">
      <c r="A19" s="4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42"/>
    </row>
    <row r="20" spans="1:19" x14ac:dyDescent="0.3">
      <c r="A20" s="32" t="s">
        <v>63</v>
      </c>
      <c r="B20" s="183" t="s">
        <v>64</v>
      </c>
      <c r="C20" s="183"/>
      <c r="D20" s="183"/>
      <c r="E20" s="183"/>
      <c r="F20" s="183"/>
      <c r="G20" s="183"/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 s="183"/>
    </row>
    <row r="21" spans="1:19" ht="14.45" customHeight="1" x14ac:dyDescent="0.3">
      <c r="A21" s="184" t="s">
        <v>65</v>
      </c>
      <c r="B21" s="253"/>
      <c r="C21" s="253"/>
      <c r="D21" s="253"/>
      <c r="E21" s="253"/>
      <c r="F21" s="253"/>
      <c r="G21" s="254"/>
      <c r="H21" s="183" t="s">
        <v>46</v>
      </c>
      <c r="I21" s="183"/>
      <c r="J21" s="183" t="s">
        <v>46</v>
      </c>
      <c r="K21" s="183"/>
      <c r="L21" s="183" t="s">
        <v>46</v>
      </c>
      <c r="M21" s="183"/>
      <c r="N21" s="183" t="s">
        <v>46</v>
      </c>
      <c r="O21" s="183"/>
      <c r="P21" s="184" t="s">
        <v>46</v>
      </c>
      <c r="Q21" s="185"/>
      <c r="R21" s="184" t="s">
        <v>46</v>
      </c>
      <c r="S21" s="185"/>
    </row>
    <row r="22" spans="1:19" x14ac:dyDescent="0.3">
      <c r="A22" s="47" t="s">
        <v>51</v>
      </c>
      <c r="B22" s="230" t="s">
        <v>66</v>
      </c>
      <c r="C22" s="230"/>
      <c r="D22" s="230"/>
      <c r="E22" s="230"/>
      <c r="F22" s="230"/>
      <c r="G22" s="230"/>
      <c r="H22" s="212"/>
      <c r="I22" s="212"/>
      <c r="J22" s="212">
        <f>H22</f>
        <v>0</v>
      </c>
      <c r="K22" s="212"/>
      <c r="L22" s="212">
        <f>J22</f>
        <v>0</v>
      </c>
      <c r="M22" s="212"/>
      <c r="N22" s="212">
        <f>L22</f>
        <v>0</v>
      </c>
      <c r="O22" s="212"/>
      <c r="P22" s="220">
        <f>H22</f>
        <v>0</v>
      </c>
      <c r="Q22" s="221"/>
      <c r="R22" s="220">
        <f>J22</f>
        <v>0</v>
      </c>
      <c r="S22" s="221"/>
    </row>
    <row r="23" spans="1:19" ht="27" customHeight="1" x14ac:dyDescent="0.3">
      <c r="A23" s="48" t="s">
        <v>53</v>
      </c>
      <c r="B23" s="196" t="s">
        <v>212</v>
      </c>
      <c r="C23" s="196"/>
      <c r="D23" s="196"/>
      <c r="E23" s="196"/>
      <c r="F23" s="196"/>
      <c r="G23" s="196"/>
      <c r="H23" s="225"/>
      <c r="I23" s="225"/>
      <c r="J23" s="212">
        <f>H23</f>
        <v>0</v>
      </c>
      <c r="K23" s="212"/>
      <c r="L23" s="212">
        <f>J23</f>
        <v>0</v>
      </c>
      <c r="M23" s="212"/>
      <c r="N23" s="212">
        <f>L23</f>
        <v>0</v>
      </c>
      <c r="O23" s="212"/>
      <c r="P23" s="220">
        <f>H23</f>
        <v>0</v>
      </c>
      <c r="Q23" s="221"/>
      <c r="R23" s="220">
        <f>J23</f>
        <v>0</v>
      </c>
      <c r="S23" s="221"/>
    </row>
    <row r="24" spans="1:19" ht="27" customHeight="1" x14ac:dyDescent="0.3">
      <c r="A24" s="48" t="s">
        <v>67</v>
      </c>
      <c r="B24" s="196" t="s">
        <v>68</v>
      </c>
      <c r="C24" s="196"/>
      <c r="D24" s="196"/>
      <c r="E24" s="196"/>
      <c r="F24" s="196"/>
      <c r="G24" s="196"/>
      <c r="H24" s="220"/>
      <c r="I24" s="221"/>
      <c r="J24" s="212">
        <f>H24</f>
        <v>0</v>
      </c>
      <c r="K24" s="212"/>
      <c r="L24" s="212">
        <f>J24</f>
        <v>0</v>
      </c>
      <c r="M24" s="212"/>
      <c r="N24" s="212">
        <f>L24</f>
        <v>0</v>
      </c>
      <c r="O24" s="212"/>
      <c r="P24" s="220">
        <f>H24</f>
        <v>0</v>
      </c>
      <c r="Q24" s="221"/>
      <c r="R24" s="220">
        <f>J24</f>
        <v>0</v>
      </c>
      <c r="S24" s="221"/>
    </row>
    <row r="25" spans="1:19" ht="27" customHeight="1" x14ac:dyDescent="0.3">
      <c r="A25" s="48" t="s">
        <v>60</v>
      </c>
      <c r="B25" s="196" t="s">
        <v>69</v>
      </c>
      <c r="C25" s="196"/>
      <c r="D25" s="196"/>
      <c r="E25" s="196"/>
      <c r="F25" s="196"/>
      <c r="G25" s="196"/>
      <c r="H25" s="225"/>
      <c r="I25" s="225"/>
      <c r="J25" s="212">
        <f>H25</f>
        <v>0</v>
      </c>
      <c r="K25" s="212"/>
      <c r="L25" s="212">
        <f>J25</f>
        <v>0</v>
      </c>
      <c r="M25" s="212"/>
      <c r="N25" s="212">
        <f>L25</f>
        <v>0</v>
      </c>
      <c r="O25" s="212"/>
      <c r="P25" s="220">
        <f>H25</f>
        <v>0</v>
      </c>
      <c r="Q25" s="221"/>
      <c r="R25" s="220">
        <f>J25</f>
        <v>0</v>
      </c>
      <c r="S25" s="221"/>
    </row>
    <row r="26" spans="1:19" ht="27" customHeight="1" x14ac:dyDescent="0.3">
      <c r="A26" s="48" t="s">
        <v>70</v>
      </c>
      <c r="B26" s="248" t="s">
        <v>71</v>
      </c>
      <c r="C26" s="248"/>
      <c r="D26" s="248"/>
      <c r="E26" s="248"/>
      <c r="F26" s="248"/>
      <c r="G26" s="248"/>
      <c r="H26" s="224">
        <f>50/100*H13/30/12</f>
        <v>0</v>
      </c>
      <c r="I26" s="224"/>
      <c r="J26" s="224">
        <f>50/100*J13/30/12</f>
        <v>0</v>
      </c>
      <c r="K26" s="224"/>
      <c r="L26" s="224">
        <f>50/100*L13/30/12</f>
        <v>0</v>
      </c>
      <c r="M26" s="224"/>
      <c r="N26" s="224">
        <f>50/100*N13/30/12</f>
        <v>0</v>
      </c>
      <c r="O26" s="224"/>
      <c r="P26" s="224">
        <f>50/100*P13/30/12</f>
        <v>0</v>
      </c>
      <c r="Q26" s="224"/>
      <c r="R26" s="224">
        <f>50/100*R13/30/12</f>
        <v>0</v>
      </c>
      <c r="S26" s="224"/>
    </row>
    <row r="27" spans="1:19" x14ac:dyDescent="0.3">
      <c r="A27" s="48" t="s">
        <v>72</v>
      </c>
      <c r="B27" s="248" t="s">
        <v>73</v>
      </c>
      <c r="C27" s="248"/>
      <c r="D27" s="248"/>
      <c r="E27" s="248"/>
      <c r="F27" s="248"/>
      <c r="G27" s="248"/>
      <c r="H27" s="224">
        <v>0</v>
      </c>
      <c r="I27" s="224"/>
      <c r="J27" s="224">
        <v>0</v>
      </c>
      <c r="K27" s="224"/>
      <c r="L27" s="224">
        <v>0</v>
      </c>
      <c r="M27" s="224"/>
      <c r="N27" s="224">
        <v>0</v>
      </c>
      <c r="O27" s="224"/>
      <c r="P27" s="251">
        <v>0</v>
      </c>
      <c r="Q27" s="252"/>
      <c r="R27" s="251">
        <v>0</v>
      </c>
      <c r="S27" s="252"/>
    </row>
    <row r="28" spans="1:19" ht="27" customHeight="1" x14ac:dyDescent="0.3">
      <c r="A28" s="48" t="s">
        <v>74</v>
      </c>
      <c r="B28" s="248" t="s">
        <v>75</v>
      </c>
      <c r="C28" s="248"/>
      <c r="D28" s="248"/>
      <c r="E28" s="248"/>
      <c r="F28" s="248"/>
      <c r="G28" s="248"/>
      <c r="H28" s="224"/>
      <c r="I28" s="224"/>
      <c r="J28" s="212">
        <f>H28</f>
        <v>0</v>
      </c>
      <c r="K28" s="212"/>
      <c r="L28" s="212">
        <f>J28</f>
        <v>0</v>
      </c>
      <c r="M28" s="212"/>
      <c r="N28" s="212">
        <f>L28</f>
        <v>0</v>
      </c>
      <c r="O28" s="212"/>
      <c r="P28" s="220">
        <f>H28</f>
        <v>0</v>
      </c>
      <c r="Q28" s="221"/>
      <c r="R28" s="220">
        <f>J28</f>
        <v>0</v>
      </c>
      <c r="S28" s="221"/>
    </row>
    <row r="29" spans="1:19" ht="27" customHeight="1" x14ac:dyDescent="0.3">
      <c r="A29" s="49" t="s">
        <v>76</v>
      </c>
      <c r="B29" s="255" t="s">
        <v>77</v>
      </c>
      <c r="C29" s="255"/>
      <c r="D29" s="255"/>
      <c r="E29" s="255"/>
      <c r="F29" s="255"/>
      <c r="G29" s="255"/>
      <c r="H29" s="213">
        <f>0.9696/100/12*H13*12</f>
        <v>0</v>
      </c>
      <c r="I29" s="213"/>
      <c r="J29" s="213">
        <f>0.9696/100/12*J13*12</f>
        <v>0</v>
      </c>
      <c r="K29" s="213"/>
      <c r="L29" s="213">
        <f>0.9696/100/12*L13*12</f>
        <v>0</v>
      </c>
      <c r="M29" s="213"/>
      <c r="N29" s="213">
        <f>0.9696/100/12*N13*12</f>
        <v>0</v>
      </c>
      <c r="O29" s="213"/>
      <c r="P29" s="213">
        <f>0.9696/100/12*P13*12</f>
        <v>0</v>
      </c>
      <c r="Q29" s="213"/>
      <c r="R29" s="213">
        <f>0.9696/100/12*R13*12</f>
        <v>0</v>
      </c>
      <c r="S29" s="213"/>
    </row>
    <row r="30" spans="1:19" x14ac:dyDescent="0.3">
      <c r="A30" s="190" t="s">
        <v>59</v>
      </c>
      <c r="B30" s="191"/>
      <c r="C30" s="191"/>
      <c r="D30" s="191"/>
      <c r="E30" s="191"/>
      <c r="F30" s="191"/>
      <c r="G30" s="192"/>
      <c r="H30" s="214">
        <f>SUM(H22:I29)</f>
        <v>0</v>
      </c>
      <c r="I30" s="214"/>
      <c r="J30" s="214">
        <f>SUM(J22:K29)</f>
        <v>0</v>
      </c>
      <c r="K30" s="214"/>
      <c r="L30" s="214">
        <f>SUM(L22:M29)</f>
        <v>0</v>
      </c>
      <c r="M30" s="214"/>
      <c r="N30" s="214">
        <f>SUM(N22:O29)</f>
        <v>0</v>
      </c>
      <c r="O30" s="214"/>
      <c r="P30" s="218">
        <f>SUM(P22:Q29)</f>
        <v>0</v>
      </c>
      <c r="Q30" s="219"/>
      <c r="R30" s="218">
        <f>SUM(R22:S29)</f>
        <v>0</v>
      </c>
      <c r="S30" s="219"/>
    </row>
    <row r="31" spans="1:19" x14ac:dyDescent="0.3">
      <c r="A31" s="36" t="s">
        <v>48</v>
      </c>
      <c r="B31" s="186" t="s">
        <v>61</v>
      </c>
      <c r="C31" s="187"/>
      <c r="D31" s="187"/>
      <c r="E31" s="187"/>
      <c r="F31" s="188"/>
      <c r="G31" s="46">
        <v>0.01</v>
      </c>
      <c r="H31" s="223">
        <f>H30*G31</f>
        <v>0</v>
      </c>
      <c r="I31" s="223"/>
      <c r="J31" s="216">
        <f>J30*G31</f>
        <v>0</v>
      </c>
      <c r="K31" s="217"/>
      <c r="L31" s="223">
        <f>L30*G31</f>
        <v>0</v>
      </c>
      <c r="M31" s="223"/>
      <c r="N31" s="223">
        <f>N30*G31</f>
        <v>0</v>
      </c>
      <c r="O31" s="223"/>
      <c r="P31" s="220">
        <f>P30*G31</f>
        <v>0</v>
      </c>
      <c r="Q31" s="221"/>
      <c r="R31" s="220">
        <f>R30*G31</f>
        <v>0</v>
      </c>
      <c r="S31" s="221"/>
    </row>
    <row r="32" spans="1:19" x14ac:dyDescent="0.3">
      <c r="A32" s="175" t="s">
        <v>62</v>
      </c>
      <c r="B32" s="176"/>
      <c r="C32" s="176"/>
      <c r="D32" s="176"/>
      <c r="E32" s="176"/>
      <c r="F32" s="176"/>
      <c r="G32" s="177"/>
      <c r="H32" s="209">
        <f>SUM(H30:H31)</f>
        <v>0</v>
      </c>
      <c r="I32" s="209"/>
      <c r="J32" s="209">
        <f>SUM(J30:J31)</f>
        <v>0</v>
      </c>
      <c r="K32" s="209"/>
      <c r="L32" s="209">
        <f>SUM(L30:L31)</f>
        <v>0</v>
      </c>
      <c r="M32" s="209"/>
      <c r="N32" s="209">
        <f>SUM(N30:N31)</f>
        <v>0</v>
      </c>
      <c r="O32" s="209"/>
      <c r="P32" s="203">
        <f>SUM(P30:P31)</f>
        <v>0</v>
      </c>
      <c r="Q32" s="222"/>
      <c r="R32" s="203">
        <f>SUM(R30:R31)</f>
        <v>0</v>
      </c>
      <c r="S32" s="222"/>
    </row>
    <row r="33" spans="1:19" ht="7.5" customHeight="1" x14ac:dyDescent="0.3">
      <c r="A33" s="4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42"/>
    </row>
    <row r="34" spans="1:19" x14ac:dyDescent="0.3">
      <c r="A34" s="32" t="s">
        <v>78</v>
      </c>
      <c r="B34" s="183" t="s">
        <v>79</v>
      </c>
      <c r="C34" s="183"/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N34" s="183"/>
      <c r="O34" s="183"/>
      <c r="P34" s="183"/>
      <c r="Q34" s="183"/>
      <c r="R34" s="183"/>
      <c r="S34" s="183"/>
    </row>
    <row r="35" spans="1:19" ht="14.45" customHeight="1" x14ac:dyDescent="0.3">
      <c r="A35" s="184" t="s">
        <v>80</v>
      </c>
      <c r="B35" s="253"/>
      <c r="C35" s="253"/>
      <c r="D35" s="253"/>
      <c r="E35" s="253"/>
      <c r="F35" s="253"/>
      <c r="G35" s="254"/>
      <c r="H35" s="183" t="s">
        <v>46</v>
      </c>
      <c r="I35" s="183"/>
      <c r="J35" s="183" t="s">
        <v>46</v>
      </c>
      <c r="K35" s="183"/>
      <c r="L35" s="183" t="s">
        <v>46</v>
      </c>
      <c r="M35" s="183"/>
      <c r="N35" s="183" t="s">
        <v>46</v>
      </c>
      <c r="O35" s="183"/>
      <c r="P35" s="184" t="s">
        <v>46</v>
      </c>
      <c r="Q35" s="185"/>
      <c r="R35" s="184" t="s">
        <v>46</v>
      </c>
      <c r="S35" s="185"/>
    </row>
    <row r="36" spans="1:19" ht="27" customHeight="1" x14ac:dyDescent="0.3">
      <c r="A36" s="47" t="s">
        <v>51</v>
      </c>
      <c r="B36" s="260" t="s">
        <v>81</v>
      </c>
      <c r="C36" s="260"/>
      <c r="D36" s="260"/>
      <c r="E36" s="260"/>
      <c r="F36" s="260"/>
      <c r="G36" s="260"/>
      <c r="H36" s="215"/>
      <c r="I36" s="215"/>
      <c r="J36" s="215">
        <f>H36</f>
        <v>0</v>
      </c>
      <c r="K36" s="215"/>
      <c r="L36" s="215">
        <f>J36</f>
        <v>0</v>
      </c>
      <c r="M36" s="215"/>
      <c r="N36" s="215">
        <f>L36</f>
        <v>0</v>
      </c>
      <c r="O36" s="215"/>
      <c r="P36" s="210">
        <f>H36</f>
        <v>0</v>
      </c>
      <c r="Q36" s="211"/>
      <c r="R36" s="210">
        <f>J36</f>
        <v>0</v>
      </c>
      <c r="S36" s="211"/>
    </row>
    <row r="37" spans="1:19" x14ac:dyDescent="0.3">
      <c r="A37" s="50" t="s">
        <v>53</v>
      </c>
      <c r="B37" s="159" t="s">
        <v>82</v>
      </c>
      <c r="C37" s="159"/>
      <c r="D37" s="159"/>
      <c r="E37" s="159"/>
      <c r="F37" s="159"/>
      <c r="G37" s="159"/>
      <c r="H37" s="208"/>
      <c r="I37" s="208"/>
      <c r="J37" s="208"/>
      <c r="K37" s="208"/>
      <c r="L37" s="208"/>
      <c r="M37" s="208"/>
      <c r="N37" s="208"/>
      <c r="O37" s="208"/>
      <c r="P37" s="201"/>
      <c r="Q37" s="202"/>
      <c r="R37" s="201"/>
      <c r="S37" s="202"/>
    </row>
    <row r="38" spans="1:19" x14ac:dyDescent="0.3">
      <c r="A38" s="175" t="s">
        <v>62</v>
      </c>
      <c r="B38" s="176"/>
      <c r="C38" s="176"/>
      <c r="D38" s="176"/>
      <c r="E38" s="176"/>
      <c r="F38" s="176"/>
      <c r="G38" s="177"/>
      <c r="H38" s="209">
        <f>SUM(H36:H37)</f>
        <v>0</v>
      </c>
      <c r="I38" s="209"/>
      <c r="J38" s="209">
        <f>SUM(J36:J37)</f>
        <v>0</v>
      </c>
      <c r="K38" s="209"/>
      <c r="L38" s="209">
        <f>SUM(L36:L37)</f>
        <v>0</v>
      </c>
      <c r="M38" s="209"/>
      <c r="N38" s="209">
        <f>SUM(N36:N37)</f>
        <v>0</v>
      </c>
      <c r="O38" s="209"/>
      <c r="P38" s="203">
        <f>SUM(P36:P37)</f>
        <v>0</v>
      </c>
      <c r="Q38" s="204"/>
      <c r="R38" s="203">
        <f>SUM(R36:R37)</f>
        <v>0</v>
      </c>
      <c r="S38" s="204"/>
    </row>
    <row r="39" spans="1:19" ht="24" customHeight="1" x14ac:dyDescent="0.3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</row>
    <row r="40" spans="1:19" x14ac:dyDescent="0.3">
      <c r="A40" s="32" t="s">
        <v>83</v>
      </c>
      <c r="B40" s="183" t="s">
        <v>84</v>
      </c>
      <c r="C40" s="183"/>
      <c r="D40" s="183"/>
      <c r="E40" s="183"/>
      <c r="F40" s="183"/>
      <c r="G40" s="183"/>
      <c r="H40" s="183"/>
      <c r="I40" s="183"/>
      <c r="J40" s="183"/>
      <c r="K40" s="183"/>
      <c r="L40" s="183"/>
      <c r="M40" s="183"/>
      <c r="N40" s="183"/>
      <c r="O40" s="183"/>
      <c r="P40" s="183"/>
      <c r="Q40" s="183"/>
      <c r="R40" s="183"/>
      <c r="S40" s="183"/>
    </row>
    <row r="41" spans="1:19" x14ac:dyDescent="0.3">
      <c r="A41" s="184" t="s">
        <v>85</v>
      </c>
      <c r="B41" s="256"/>
      <c r="C41" s="256"/>
      <c r="D41" s="256"/>
      <c r="E41" s="256"/>
      <c r="F41" s="256"/>
      <c r="G41" s="256"/>
      <c r="H41" s="256"/>
      <c r="I41" s="256"/>
      <c r="J41" s="256"/>
      <c r="K41" s="256"/>
      <c r="L41" s="256"/>
      <c r="M41" s="256"/>
      <c r="N41" s="256"/>
      <c r="O41" s="256"/>
      <c r="P41" s="256"/>
      <c r="Q41" s="256"/>
      <c r="R41" s="256"/>
      <c r="S41" s="257"/>
    </row>
    <row r="42" spans="1:19" ht="7.5" customHeight="1" x14ac:dyDescent="0.3">
      <c r="A42" s="51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3"/>
    </row>
    <row r="43" spans="1:19" ht="87.75" customHeight="1" x14ac:dyDescent="0.3">
      <c r="A43" s="32" t="s">
        <v>86</v>
      </c>
      <c r="B43" s="183" t="s">
        <v>87</v>
      </c>
      <c r="C43" s="183"/>
      <c r="D43" s="183"/>
      <c r="E43" s="183"/>
      <c r="F43" s="183"/>
      <c r="G43" s="183"/>
      <c r="H43" s="183" t="s">
        <v>34</v>
      </c>
      <c r="I43" s="183"/>
      <c r="J43" s="183" t="s">
        <v>35</v>
      </c>
      <c r="K43" s="183"/>
      <c r="L43" s="183" t="s">
        <v>36</v>
      </c>
      <c r="M43" s="183"/>
      <c r="N43" s="184" t="s">
        <v>37</v>
      </c>
      <c r="O43" s="185"/>
      <c r="P43" s="184" t="s">
        <v>210</v>
      </c>
      <c r="Q43" s="185"/>
      <c r="R43" s="184" t="s">
        <v>38</v>
      </c>
      <c r="S43" s="185"/>
    </row>
    <row r="44" spans="1:19" x14ac:dyDescent="0.3">
      <c r="A44" s="184" t="s">
        <v>88</v>
      </c>
      <c r="B44" s="189"/>
      <c r="C44" s="189"/>
      <c r="D44" s="189"/>
      <c r="E44" s="189"/>
      <c r="F44" s="189"/>
      <c r="G44" s="185"/>
      <c r="H44" s="33" t="s">
        <v>45</v>
      </c>
      <c r="I44" s="33" t="s">
        <v>46</v>
      </c>
      <c r="J44" s="33" t="s">
        <v>45</v>
      </c>
      <c r="K44" s="33" t="s">
        <v>46</v>
      </c>
      <c r="L44" s="33" t="s">
        <v>45</v>
      </c>
      <c r="M44" s="33" t="s">
        <v>46</v>
      </c>
      <c r="N44" s="33" t="s">
        <v>45</v>
      </c>
      <c r="O44" s="33" t="s">
        <v>46</v>
      </c>
      <c r="P44" s="33" t="s">
        <v>45</v>
      </c>
      <c r="Q44" s="33" t="s">
        <v>46</v>
      </c>
      <c r="R44" s="33" t="s">
        <v>45</v>
      </c>
      <c r="S44" s="33" t="s">
        <v>46</v>
      </c>
    </row>
    <row r="45" spans="1:19" x14ac:dyDescent="0.3">
      <c r="A45" s="59" t="s">
        <v>51</v>
      </c>
      <c r="B45" s="207" t="s">
        <v>89</v>
      </c>
      <c r="C45" s="207"/>
      <c r="D45" s="207"/>
      <c r="E45" s="207"/>
      <c r="F45" s="207"/>
      <c r="G45" s="207"/>
      <c r="H45" s="60">
        <v>0.2</v>
      </c>
      <c r="I45" s="61">
        <f t="shared" ref="I45:I52" si="0">$H$18*H45</f>
        <v>0</v>
      </c>
      <c r="J45" s="60">
        <v>0.2</v>
      </c>
      <c r="K45" s="61">
        <f t="shared" ref="K45:K52" si="1">$J$18*J45</f>
        <v>0</v>
      </c>
      <c r="L45" s="60">
        <v>0.2</v>
      </c>
      <c r="M45" s="61">
        <f t="shared" ref="M45:M52" si="2">$L$18*L45</f>
        <v>0</v>
      </c>
      <c r="N45" s="60">
        <v>0.2</v>
      </c>
      <c r="O45" s="61">
        <f t="shared" ref="O45:O52" si="3">$N$18*N45</f>
        <v>0</v>
      </c>
      <c r="P45" s="60">
        <v>0.2</v>
      </c>
      <c r="Q45" s="61">
        <f t="shared" ref="Q45:Q52" si="4">$P$18*P45</f>
        <v>0</v>
      </c>
      <c r="R45" s="60">
        <v>0.2</v>
      </c>
      <c r="S45" s="61">
        <f>R45*R18</f>
        <v>0</v>
      </c>
    </row>
    <row r="46" spans="1:19" x14ac:dyDescent="0.3">
      <c r="A46" s="62" t="s">
        <v>53</v>
      </c>
      <c r="B46" s="205" t="s">
        <v>90</v>
      </c>
      <c r="C46" s="205"/>
      <c r="D46" s="205"/>
      <c r="E46" s="205"/>
      <c r="F46" s="205"/>
      <c r="G46" s="205"/>
      <c r="H46" s="63">
        <v>1.4999999999999999E-2</v>
      </c>
      <c r="I46" s="64">
        <f t="shared" si="0"/>
        <v>0</v>
      </c>
      <c r="J46" s="63">
        <v>1.4999999999999999E-2</v>
      </c>
      <c r="K46" s="64">
        <f t="shared" si="1"/>
        <v>0</v>
      </c>
      <c r="L46" s="63">
        <v>1.4999999999999999E-2</v>
      </c>
      <c r="M46" s="64">
        <f t="shared" si="2"/>
        <v>0</v>
      </c>
      <c r="N46" s="63">
        <v>1.4999999999999999E-2</v>
      </c>
      <c r="O46" s="64">
        <f t="shared" si="3"/>
        <v>0</v>
      </c>
      <c r="P46" s="63">
        <v>1.4999999999999999E-2</v>
      </c>
      <c r="Q46" s="64">
        <f t="shared" si="4"/>
        <v>0</v>
      </c>
      <c r="R46" s="63">
        <v>1.4999999999999999E-2</v>
      </c>
      <c r="S46" s="61">
        <f>R46*R18</f>
        <v>0</v>
      </c>
    </row>
    <row r="47" spans="1:19" x14ac:dyDescent="0.3">
      <c r="A47" s="62" t="s">
        <v>67</v>
      </c>
      <c r="B47" s="205" t="s">
        <v>91</v>
      </c>
      <c r="C47" s="205"/>
      <c r="D47" s="205"/>
      <c r="E47" s="205"/>
      <c r="F47" s="205"/>
      <c r="G47" s="205"/>
      <c r="H47" s="65">
        <v>0.01</v>
      </c>
      <c r="I47" s="64">
        <f t="shared" si="0"/>
        <v>0</v>
      </c>
      <c r="J47" s="65">
        <v>0.01</v>
      </c>
      <c r="K47" s="64">
        <f t="shared" si="1"/>
        <v>0</v>
      </c>
      <c r="L47" s="65">
        <v>0.01</v>
      </c>
      <c r="M47" s="64">
        <f t="shared" si="2"/>
        <v>0</v>
      </c>
      <c r="N47" s="65">
        <v>0.01</v>
      </c>
      <c r="O47" s="64">
        <f t="shared" si="3"/>
        <v>0</v>
      </c>
      <c r="P47" s="65">
        <v>0.01</v>
      </c>
      <c r="Q47" s="64">
        <f t="shared" si="4"/>
        <v>0</v>
      </c>
      <c r="R47" s="65">
        <v>0.01</v>
      </c>
      <c r="S47" s="64">
        <f>R47*R18</f>
        <v>0</v>
      </c>
    </row>
    <row r="48" spans="1:19" x14ac:dyDescent="0.3">
      <c r="A48" s="62" t="s">
        <v>60</v>
      </c>
      <c r="B48" s="205" t="s">
        <v>92</v>
      </c>
      <c r="C48" s="205"/>
      <c r="D48" s="205"/>
      <c r="E48" s="205"/>
      <c r="F48" s="205"/>
      <c r="G48" s="205"/>
      <c r="H48" s="63">
        <v>2E-3</v>
      </c>
      <c r="I48" s="64">
        <f t="shared" si="0"/>
        <v>0</v>
      </c>
      <c r="J48" s="63">
        <v>2E-3</v>
      </c>
      <c r="K48" s="64">
        <f t="shared" si="1"/>
        <v>0</v>
      </c>
      <c r="L48" s="63">
        <v>2E-3</v>
      </c>
      <c r="M48" s="64">
        <f t="shared" si="2"/>
        <v>0</v>
      </c>
      <c r="N48" s="63">
        <v>2E-3</v>
      </c>
      <c r="O48" s="64">
        <f t="shared" si="3"/>
        <v>0</v>
      </c>
      <c r="P48" s="63">
        <v>2E-3</v>
      </c>
      <c r="Q48" s="64">
        <f t="shared" si="4"/>
        <v>0</v>
      </c>
      <c r="R48" s="63">
        <v>2E-3</v>
      </c>
      <c r="S48" s="64">
        <f>R48*R18</f>
        <v>0</v>
      </c>
    </row>
    <row r="49" spans="1:19" x14ac:dyDescent="0.3">
      <c r="A49" s="62" t="s">
        <v>70</v>
      </c>
      <c r="B49" s="205" t="s">
        <v>93</v>
      </c>
      <c r="C49" s="205"/>
      <c r="D49" s="205"/>
      <c r="E49" s="205"/>
      <c r="F49" s="205"/>
      <c r="G49" s="205"/>
      <c r="H49" s="63">
        <v>2.5000000000000001E-2</v>
      </c>
      <c r="I49" s="64">
        <f t="shared" si="0"/>
        <v>0</v>
      </c>
      <c r="J49" s="63">
        <v>2.5000000000000001E-2</v>
      </c>
      <c r="K49" s="64">
        <f t="shared" si="1"/>
        <v>0</v>
      </c>
      <c r="L49" s="63">
        <v>2.5000000000000001E-2</v>
      </c>
      <c r="M49" s="64">
        <f t="shared" si="2"/>
        <v>0</v>
      </c>
      <c r="N49" s="63">
        <v>2.5000000000000001E-2</v>
      </c>
      <c r="O49" s="64">
        <f t="shared" si="3"/>
        <v>0</v>
      </c>
      <c r="P49" s="63">
        <v>2.5000000000000001E-2</v>
      </c>
      <c r="Q49" s="64">
        <f t="shared" si="4"/>
        <v>0</v>
      </c>
      <c r="R49" s="63">
        <v>2.5000000000000001E-2</v>
      </c>
      <c r="S49" s="64">
        <f>R49*R18</f>
        <v>0</v>
      </c>
    </row>
    <row r="50" spans="1:19" x14ac:dyDescent="0.3">
      <c r="A50" s="62" t="s">
        <v>72</v>
      </c>
      <c r="B50" s="205" t="s">
        <v>94</v>
      </c>
      <c r="C50" s="205"/>
      <c r="D50" s="205"/>
      <c r="E50" s="205"/>
      <c r="F50" s="205"/>
      <c r="G50" s="205"/>
      <c r="H50" s="65">
        <v>0.08</v>
      </c>
      <c r="I50" s="64">
        <f t="shared" si="0"/>
        <v>0</v>
      </c>
      <c r="J50" s="65">
        <v>0.08</v>
      </c>
      <c r="K50" s="64">
        <f t="shared" si="1"/>
        <v>0</v>
      </c>
      <c r="L50" s="65">
        <v>0.08</v>
      </c>
      <c r="M50" s="64">
        <f t="shared" si="2"/>
        <v>0</v>
      </c>
      <c r="N50" s="65">
        <v>0.08</v>
      </c>
      <c r="O50" s="64">
        <f t="shared" si="3"/>
        <v>0</v>
      </c>
      <c r="P50" s="65">
        <v>0.08</v>
      </c>
      <c r="Q50" s="64">
        <f t="shared" si="4"/>
        <v>0</v>
      </c>
      <c r="R50" s="65">
        <v>0.08</v>
      </c>
      <c r="S50" s="64">
        <f>R50*R18</f>
        <v>0</v>
      </c>
    </row>
    <row r="51" spans="1:19" x14ac:dyDescent="0.3">
      <c r="A51" s="62" t="s">
        <v>74</v>
      </c>
      <c r="B51" s="205" t="s">
        <v>95</v>
      </c>
      <c r="C51" s="205"/>
      <c r="D51" s="205"/>
      <c r="E51" s="205"/>
      <c r="F51" s="205"/>
      <c r="G51" s="205"/>
      <c r="H51" s="63">
        <v>1.4999999999999999E-2</v>
      </c>
      <c r="I51" s="64">
        <f t="shared" si="0"/>
        <v>0</v>
      </c>
      <c r="J51" s="63">
        <v>1.4999999999999999E-2</v>
      </c>
      <c r="K51" s="64">
        <f t="shared" si="1"/>
        <v>0</v>
      </c>
      <c r="L51" s="63">
        <v>1.4999999999999999E-2</v>
      </c>
      <c r="M51" s="64">
        <f t="shared" si="2"/>
        <v>0</v>
      </c>
      <c r="N51" s="63">
        <v>1.4999999999999999E-2</v>
      </c>
      <c r="O51" s="64">
        <f t="shared" si="3"/>
        <v>0</v>
      </c>
      <c r="P51" s="63">
        <v>1.4999999999999999E-2</v>
      </c>
      <c r="Q51" s="64">
        <f t="shared" si="4"/>
        <v>0</v>
      </c>
      <c r="R51" s="63">
        <v>1.4999999999999999E-2</v>
      </c>
      <c r="S51" s="64">
        <f>R51*R18</f>
        <v>0</v>
      </c>
    </row>
    <row r="52" spans="1:19" x14ac:dyDescent="0.3">
      <c r="A52" s="50" t="s">
        <v>76</v>
      </c>
      <c r="B52" s="206" t="s">
        <v>96</v>
      </c>
      <c r="C52" s="206"/>
      <c r="D52" s="206"/>
      <c r="E52" s="206"/>
      <c r="F52" s="206"/>
      <c r="G52" s="206"/>
      <c r="H52" s="66">
        <v>6.0000000000000001E-3</v>
      </c>
      <c r="I52" s="67">
        <f t="shared" si="0"/>
        <v>0</v>
      </c>
      <c r="J52" s="66">
        <v>6.0000000000000001E-3</v>
      </c>
      <c r="K52" s="67">
        <f t="shared" si="1"/>
        <v>0</v>
      </c>
      <c r="L52" s="66">
        <v>6.0000000000000001E-3</v>
      </c>
      <c r="M52" s="67">
        <f t="shared" si="2"/>
        <v>0</v>
      </c>
      <c r="N52" s="66">
        <v>6.0000000000000001E-3</v>
      </c>
      <c r="O52" s="67">
        <f t="shared" si="3"/>
        <v>0</v>
      </c>
      <c r="P52" s="66">
        <v>6.0000000000000001E-3</v>
      </c>
      <c r="Q52" s="67">
        <f t="shared" si="4"/>
        <v>0</v>
      </c>
      <c r="R52" s="66">
        <v>6.0000000000000001E-3</v>
      </c>
      <c r="S52" s="67">
        <f>R52*R18</f>
        <v>0</v>
      </c>
    </row>
    <row r="53" spans="1:19" x14ac:dyDescent="0.3">
      <c r="A53" s="175" t="s">
        <v>62</v>
      </c>
      <c r="B53" s="176"/>
      <c r="C53" s="176"/>
      <c r="D53" s="176"/>
      <c r="E53" s="176"/>
      <c r="F53" s="176"/>
      <c r="G53" s="177"/>
      <c r="H53" s="57">
        <f t="shared" ref="H53:S53" si="5">SUM(H45:H52)</f>
        <v>0.35300000000000009</v>
      </c>
      <c r="I53" s="58">
        <f t="shared" si="5"/>
        <v>0</v>
      </c>
      <c r="J53" s="57">
        <f t="shared" si="5"/>
        <v>0.35300000000000009</v>
      </c>
      <c r="K53" s="58">
        <f t="shared" si="5"/>
        <v>0</v>
      </c>
      <c r="L53" s="57">
        <f t="shared" si="5"/>
        <v>0.35300000000000009</v>
      </c>
      <c r="M53" s="58">
        <f t="shared" si="5"/>
        <v>0</v>
      </c>
      <c r="N53" s="57">
        <f t="shared" si="5"/>
        <v>0.35300000000000009</v>
      </c>
      <c r="O53" s="58">
        <f t="shared" si="5"/>
        <v>0</v>
      </c>
      <c r="P53" s="57">
        <f t="shared" si="5"/>
        <v>0.35300000000000009</v>
      </c>
      <c r="Q53" s="58">
        <f t="shared" si="5"/>
        <v>0</v>
      </c>
      <c r="R53" s="57">
        <f t="shared" si="5"/>
        <v>0.35300000000000009</v>
      </c>
      <c r="S53" s="58">
        <f t="shared" si="5"/>
        <v>0</v>
      </c>
    </row>
    <row r="54" spans="1:19" ht="7.5" customHeight="1" x14ac:dyDescent="0.3">
      <c r="A54" s="51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3"/>
    </row>
    <row r="55" spans="1:19" ht="83.25" customHeight="1" x14ac:dyDescent="0.3">
      <c r="A55" s="32" t="s">
        <v>97</v>
      </c>
      <c r="B55" s="183" t="s">
        <v>98</v>
      </c>
      <c r="C55" s="183"/>
      <c r="D55" s="183"/>
      <c r="E55" s="183"/>
      <c r="F55" s="183"/>
      <c r="G55" s="183"/>
      <c r="H55" s="183" t="s">
        <v>34</v>
      </c>
      <c r="I55" s="183"/>
      <c r="J55" s="183" t="s">
        <v>35</v>
      </c>
      <c r="K55" s="183"/>
      <c r="L55" s="183" t="s">
        <v>36</v>
      </c>
      <c r="M55" s="183"/>
      <c r="N55" s="184" t="s">
        <v>37</v>
      </c>
      <c r="O55" s="185"/>
      <c r="P55" s="184" t="s">
        <v>210</v>
      </c>
      <c r="Q55" s="185"/>
      <c r="R55" s="184" t="s">
        <v>38</v>
      </c>
      <c r="S55" s="185"/>
    </row>
    <row r="56" spans="1:19" x14ac:dyDescent="0.3">
      <c r="A56" s="184" t="s">
        <v>99</v>
      </c>
      <c r="B56" s="189"/>
      <c r="C56" s="189"/>
      <c r="D56" s="189"/>
      <c r="E56" s="189"/>
      <c r="F56" s="189"/>
      <c r="G56" s="185"/>
      <c r="H56" s="33" t="s">
        <v>45</v>
      </c>
      <c r="I56" s="33" t="s">
        <v>46</v>
      </c>
      <c r="J56" s="33" t="s">
        <v>45</v>
      </c>
      <c r="K56" s="33" t="s">
        <v>46</v>
      </c>
      <c r="L56" s="33" t="s">
        <v>45</v>
      </c>
      <c r="M56" s="33" t="s">
        <v>46</v>
      </c>
      <c r="N56" s="33" t="s">
        <v>45</v>
      </c>
      <c r="O56" s="33" t="s">
        <v>46</v>
      </c>
      <c r="P56" s="33" t="s">
        <v>45</v>
      </c>
      <c r="Q56" s="33" t="s">
        <v>46</v>
      </c>
      <c r="R56" s="33" t="s">
        <v>45</v>
      </c>
      <c r="S56" s="33" t="s">
        <v>46</v>
      </c>
    </row>
    <row r="57" spans="1:19" x14ac:dyDescent="0.3">
      <c r="A57" s="59" t="s">
        <v>51</v>
      </c>
      <c r="B57" s="258" t="s">
        <v>100</v>
      </c>
      <c r="C57" s="258"/>
      <c r="D57" s="258"/>
      <c r="E57" s="258"/>
      <c r="F57" s="258"/>
      <c r="G57" s="258"/>
      <c r="H57" s="77">
        <f>1/12</f>
        <v>8.3333333333333329E-2</v>
      </c>
      <c r="I57" s="61">
        <f>$H$18*H57</f>
        <v>0</v>
      </c>
      <c r="J57" s="77">
        <f>1/12</f>
        <v>8.3333333333333329E-2</v>
      </c>
      <c r="K57" s="61">
        <f>$J$18*J57</f>
        <v>0</v>
      </c>
      <c r="L57" s="77">
        <f>1/12</f>
        <v>8.3333333333333329E-2</v>
      </c>
      <c r="M57" s="61">
        <f>$L$18*L57</f>
        <v>0</v>
      </c>
      <c r="N57" s="77">
        <f>1/12</f>
        <v>8.3333333333333329E-2</v>
      </c>
      <c r="O57" s="61">
        <f>$N$18*N57</f>
        <v>0</v>
      </c>
      <c r="P57" s="77">
        <f>1/12</f>
        <v>8.3333333333333329E-2</v>
      </c>
      <c r="Q57" s="61">
        <f>$P$18*J57</f>
        <v>0</v>
      </c>
      <c r="R57" s="77">
        <f>1/12</f>
        <v>8.3333333333333329E-2</v>
      </c>
      <c r="S57" s="61">
        <f>R57*R18</f>
        <v>0</v>
      </c>
    </row>
    <row r="58" spans="1:19" x14ac:dyDescent="0.3">
      <c r="A58" s="50" t="s">
        <v>53</v>
      </c>
      <c r="B58" s="259" t="s">
        <v>101</v>
      </c>
      <c r="C58" s="259"/>
      <c r="D58" s="259"/>
      <c r="E58" s="259"/>
      <c r="F58" s="259"/>
      <c r="G58" s="259"/>
      <c r="H58" s="87">
        <f>1/3/12</f>
        <v>2.7777777777777776E-2</v>
      </c>
      <c r="I58" s="67">
        <f>$H$18*H58</f>
        <v>0</v>
      </c>
      <c r="J58" s="87">
        <f>1/3/12</f>
        <v>2.7777777777777776E-2</v>
      </c>
      <c r="K58" s="67">
        <f>$J$18*J58</f>
        <v>0</v>
      </c>
      <c r="L58" s="87">
        <f>1/3/12</f>
        <v>2.7777777777777776E-2</v>
      </c>
      <c r="M58" s="67">
        <f>$L$18*L58</f>
        <v>0</v>
      </c>
      <c r="N58" s="87">
        <f>1/3/12</f>
        <v>2.7777777777777776E-2</v>
      </c>
      <c r="O58" s="67">
        <f>$N$18*N58</f>
        <v>0</v>
      </c>
      <c r="P58" s="87">
        <f>1/3/12</f>
        <v>2.7777777777777776E-2</v>
      </c>
      <c r="Q58" s="67">
        <f>$P$18*J58</f>
        <v>0</v>
      </c>
      <c r="R58" s="87">
        <f>1/3/12</f>
        <v>2.7777777777777776E-2</v>
      </c>
      <c r="S58" s="67">
        <f>R58*R18</f>
        <v>0</v>
      </c>
    </row>
    <row r="59" spans="1:19" x14ac:dyDescent="0.3">
      <c r="A59" s="190" t="s">
        <v>59</v>
      </c>
      <c r="B59" s="191"/>
      <c r="C59" s="191"/>
      <c r="D59" s="191"/>
      <c r="E59" s="191"/>
      <c r="F59" s="191"/>
      <c r="G59" s="192"/>
      <c r="H59" s="68">
        <f t="shared" ref="H59:P59" si="6">SUM(H57:H58)</f>
        <v>0.1111111111111111</v>
      </c>
      <c r="I59" s="69">
        <f t="shared" si="6"/>
        <v>0</v>
      </c>
      <c r="J59" s="68">
        <f t="shared" si="6"/>
        <v>0.1111111111111111</v>
      </c>
      <c r="K59" s="69">
        <f t="shared" si="6"/>
        <v>0</v>
      </c>
      <c r="L59" s="68">
        <f t="shared" ref="L59:M59" si="7">SUM(L57:L58)</f>
        <v>0.1111111111111111</v>
      </c>
      <c r="M59" s="69">
        <f t="shared" si="7"/>
        <v>0</v>
      </c>
      <c r="N59" s="68">
        <f>SUM(N57:N58)</f>
        <v>0.1111111111111111</v>
      </c>
      <c r="O59" s="69">
        <f t="shared" ref="O59" si="8">SUM(O57:O58)</f>
        <v>0</v>
      </c>
      <c r="P59" s="68">
        <f t="shared" si="6"/>
        <v>0.1111111111111111</v>
      </c>
      <c r="Q59" s="69">
        <f t="shared" ref="Q59:R59" si="9">SUM(Q57:Q58)</f>
        <v>0</v>
      </c>
      <c r="R59" s="68">
        <f t="shared" si="9"/>
        <v>0.1111111111111111</v>
      </c>
      <c r="S59" s="69">
        <f>SUM(S57:S58)</f>
        <v>0</v>
      </c>
    </row>
    <row r="60" spans="1:19" x14ac:dyDescent="0.3">
      <c r="A60" s="37" t="s">
        <v>67</v>
      </c>
      <c r="B60" s="193" t="s">
        <v>102</v>
      </c>
      <c r="C60" s="194"/>
      <c r="D60" s="194"/>
      <c r="E60" s="194"/>
      <c r="F60" s="194"/>
      <c r="G60" s="195"/>
      <c r="H60" s="28">
        <f>H53*H59</f>
        <v>3.9222222222222228E-2</v>
      </c>
      <c r="I60" s="29">
        <f>$H$18*H60</f>
        <v>0</v>
      </c>
      <c r="J60" s="28">
        <f>J53*J59</f>
        <v>3.9222222222222228E-2</v>
      </c>
      <c r="K60" s="29">
        <f>$J$18*J60</f>
        <v>0</v>
      </c>
      <c r="L60" s="28">
        <f>L53*L59</f>
        <v>3.9222222222222228E-2</v>
      </c>
      <c r="M60" s="29">
        <f>$L$18*L60</f>
        <v>0</v>
      </c>
      <c r="N60" s="28">
        <f>N53*N59</f>
        <v>3.9222222222222228E-2</v>
      </c>
      <c r="O60" s="29">
        <f>$N$18*N60</f>
        <v>0</v>
      </c>
      <c r="P60" s="28">
        <f>P53*P59</f>
        <v>3.9222222222222228E-2</v>
      </c>
      <c r="Q60" s="29">
        <f>$P$18*J60</f>
        <v>0</v>
      </c>
      <c r="R60" s="28">
        <f>R53*R59</f>
        <v>3.9222222222222228E-2</v>
      </c>
      <c r="S60" s="29">
        <f>R60*R18</f>
        <v>0</v>
      </c>
    </row>
    <row r="61" spans="1:19" x14ac:dyDescent="0.3">
      <c r="A61" s="175" t="s">
        <v>62</v>
      </c>
      <c r="B61" s="176"/>
      <c r="C61" s="176"/>
      <c r="D61" s="176"/>
      <c r="E61" s="176"/>
      <c r="F61" s="176"/>
      <c r="G61" s="177"/>
      <c r="H61" s="57">
        <f>H59+H60</f>
        <v>0.15033333333333332</v>
      </c>
      <c r="I61" s="58">
        <f>SUM(I59:I60)</f>
        <v>0</v>
      </c>
      <c r="J61" s="57">
        <f>J59+J60</f>
        <v>0.15033333333333332</v>
      </c>
      <c r="K61" s="58">
        <f>SUM(K59:K60)</f>
        <v>0</v>
      </c>
      <c r="L61" s="57">
        <f>L59+L60</f>
        <v>0.15033333333333332</v>
      </c>
      <c r="M61" s="58">
        <f>SUM(M59:M60)</f>
        <v>0</v>
      </c>
      <c r="N61" s="57">
        <f>N59+N60</f>
        <v>0.15033333333333332</v>
      </c>
      <c r="O61" s="58">
        <f>SUM(O59:O60)</f>
        <v>0</v>
      </c>
      <c r="P61" s="57">
        <f>P59+P60</f>
        <v>0.15033333333333332</v>
      </c>
      <c r="Q61" s="58">
        <f>SUM(Q59:Q60)</f>
        <v>0</v>
      </c>
      <c r="R61" s="57">
        <f>R59+R60</f>
        <v>0.15033333333333332</v>
      </c>
      <c r="S61" s="58">
        <f>SUM(S59:S60)</f>
        <v>0</v>
      </c>
    </row>
    <row r="62" spans="1:19" ht="7.5" customHeight="1" x14ac:dyDescent="0.3">
      <c r="A62" s="51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3"/>
    </row>
    <row r="63" spans="1:19" ht="75" customHeight="1" x14ac:dyDescent="0.3">
      <c r="A63" s="32" t="s">
        <v>103</v>
      </c>
      <c r="B63" s="183" t="s">
        <v>104</v>
      </c>
      <c r="C63" s="183"/>
      <c r="D63" s="183"/>
      <c r="E63" s="183"/>
      <c r="F63" s="183"/>
      <c r="G63" s="183"/>
      <c r="H63" s="183" t="s">
        <v>34</v>
      </c>
      <c r="I63" s="183"/>
      <c r="J63" s="183" t="s">
        <v>35</v>
      </c>
      <c r="K63" s="183"/>
      <c r="L63" s="183" t="s">
        <v>36</v>
      </c>
      <c r="M63" s="183"/>
      <c r="N63" s="184" t="s">
        <v>37</v>
      </c>
      <c r="O63" s="185"/>
      <c r="P63" s="184" t="s">
        <v>210</v>
      </c>
      <c r="Q63" s="185"/>
      <c r="R63" s="184" t="s">
        <v>105</v>
      </c>
      <c r="S63" s="185"/>
    </row>
    <row r="64" spans="1:19" x14ac:dyDescent="0.3">
      <c r="A64" s="184" t="s">
        <v>106</v>
      </c>
      <c r="B64" s="189"/>
      <c r="C64" s="189"/>
      <c r="D64" s="189"/>
      <c r="E64" s="189"/>
      <c r="F64" s="189"/>
      <c r="G64" s="185"/>
      <c r="H64" s="33" t="s">
        <v>45</v>
      </c>
      <c r="I64" s="33" t="s">
        <v>46</v>
      </c>
      <c r="J64" s="33" t="s">
        <v>45</v>
      </c>
      <c r="K64" s="33" t="s">
        <v>46</v>
      </c>
      <c r="L64" s="33" t="s">
        <v>45</v>
      </c>
      <c r="M64" s="33" t="s">
        <v>46</v>
      </c>
      <c r="N64" s="33" t="s">
        <v>45</v>
      </c>
      <c r="O64" s="33" t="s">
        <v>46</v>
      </c>
      <c r="P64" s="33" t="s">
        <v>45</v>
      </c>
      <c r="Q64" s="33" t="s">
        <v>46</v>
      </c>
      <c r="R64" s="33" t="s">
        <v>45</v>
      </c>
      <c r="S64" s="33" t="s">
        <v>46</v>
      </c>
    </row>
    <row r="65" spans="1:19" x14ac:dyDescent="0.3">
      <c r="A65" s="59" t="s">
        <v>51</v>
      </c>
      <c r="B65" s="258" t="s">
        <v>107</v>
      </c>
      <c r="C65" s="258"/>
      <c r="D65" s="258"/>
      <c r="E65" s="258"/>
      <c r="F65" s="258"/>
      <c r="G65" s="258"/>
      <c r="H65" s="77">
        <f>H59*1.95/100*4/12</f>
        <v>7.2222222222222219E-4</v>
      </c>
      <c r="I65" s="61">
        <f>$H$18*H65</f>
        <v>0</v>
      </c>
      <c r="J65" s="77">
        <f>J59*1.95/100*4/12</f>
        <v>7.2222222222222219E-4</v>
      </c>
      <c r="K65" s="61">
        <f>$J$18*J65</f>
        <v>0</v>
      </c>
      <c r="L65" s="77">
        <f>L59*1.95/100*4/12</f>
        <v>7.2222222222222219E-4</v>
      </c>
      <c r="M65" s="61">
        <f>$L$18*L65</f>
        <v>0</v>
      </c>
      <c r="N65" s="77">
        <f>N59*1.95/100*4/12</f>
        <v>7.2222222222222219E-4</v>
      </c>
      <c r="O65" s="61">
        <f>$N$18*N65</f>
        <v>0</v>
      </c>
      <c r="P65" s="77">
        <f>P59*1.95/100*4/12</f>
        <v>7.2222222222222219E-4</v>
      </c>
      <c r="Q65" s="61">
        <f>$P$18*J65</f>
        <v>0</v>
      </c>
      <c r="R65" s="77">
        <f>R59*1.95/100*4/12</f>
        <v>7.2222222222222219E-4</v>
      </c>
      <c r="S65" s="61">
        <f>R65*R18</f>
        <v>0</v>
      </c>
    </row>
    <row r="66" spans="1:19" ht="27" customHeight="1" x14ac:dyDescent="0.3">
      <c r="A66" s="50" t="s">
        <v>53</v>
      </c>
      <c r="B66" s="200" t="s">
        <v>108</v>
      </c>
      <c r="C66" s="200"/>
      <c r="D66" s="200"/>
      <c r="E66" s="200"/>
      <c r="F66" s="200"/>
      <c r="G66" s="200"/>
      <c r="H66" s="87">
        <f>H59*1.95/100*2/12</f>
        <v>3.6111111111111109E-4</v>
      </c>
      <c r="I66" s="67">
        <f>$H$18*H66</f>
        <v>0</v>
      </c>
      <c r="J66" s="87">
        <f>J59*1.95/100*2/12</f>
        <v>3.6111111111111109E-4</v>
      </c>
      <c r="K66" s="67">
        <f>$J$18*J66</f>
        <v>0</v>
      </c>
      <c r="L66" s="87">
        <f>L59*1.95/100*2/12</f>
        <v>3.6111111111111109E-4</v>
      </c>
      <c r="M66" s="67">
        <f>$L$18*L66</f>
        <v>0</v>
      </c>
      <c r="N66" s="87">
        <f>N59*1.95/100*2/12</f>
        <v>3.6111111111111109E-4</v>
      </c>
      <c r="O66" s="67">
        <f>$N$18*N66</f>
        <v>0</v>
      </c>
      <c r="P66" s="87">
        <f>P59*1.95/100*2/12</f>
        <v>3.6111111111111109E-4</v>
      </c>
      <c r="Q66" s="67">
        <f>$P$18*J66</f>
        <v>0</v>
      </c>
      <c r="R66" s="87">
        <f>R59*1.95/100*2/12</f>
        <v>3.6111111111111109E-4</v>
      </c>
      <c r="S66" s="67">
        <f>R66*R18</f>
        <v>0</v>
      </c>
    </row>
    <row r="67" spans="1:19" x14ac:dyDescent="0.3">
      <c r="A67" s="190" t="s">
        <v>109</v>
      </c>
      <c r="B67" s="191"/>
      <c r="C67" s="191"/>
      <c r="D67" s="191"/>
      <c r="E67" s="191"/>
      <c r="F67" s="191"/>
      <c r="G67" s="192"/>
      <c r="H67" s="68">
        <f t="shared" ref="H67:R67" si="10">SUM(H65:H66)</f>
        <v>1.0833333333333333E-3</v>
      </c>
      <c r="I67" s="69">
        <f t="shared" si="10"/>
        <v>0</v>
      </c>
      <c r="J67" s="68">
        <f t="shared" si="10"/>
        <v>1.0833333333333333E-3</v>
      </c>
      <c r="K67" s="69">
        <f t="shared" si="10"/>
        <v>0</v>
      </c>
      <c r="L67" s="68">
        <f t="shared" ref="L67:M67" si="11">SUM(L65:L66)</f>
        <v>1.0833333333333333E-3</v>
      </c>
      <c r="M67" s="69">
        <f t="shared" si="11"/>
        <v>0</v>
      </c>
      <c r="N67" s="68">
        <f t="shared" ref="N67:O67" si="12">SUM(N65:N66)</f>
        <v>1.0833333333333333E-3</v>
      </c>
      <c r="O67" s="69">
        <f t="shared" si="12"/>
        <v>0</v>
      </c>
      <c r="P67" s="68">
        <f t="shared" si="10"/>
        <v>1.0833333333333333E-3</v>
      </c>
      <c r="Q67" s="69">
        <f t="shared" ref="Q67:S67" si="13">SUM(Q65:Q66)</f>
        <v>0</v>
      </c>
      <c r="R67" s="68">
        <f t="shared" si="10"/>
        <v>1.0833333333333333E-3</v>
      </c>
      <c r="S67" s="69">
        <f t="shared" si="13"/>
        <v>0</v>
      </c>
    </row>
    <row r="68" spans="1:19" x14ac:dyDescent="0.3">
      <c r="A68" s="37" t="s">
        <v>67</v>
      </c>
      <c r="B68" s="193" t="s">
        <v>110</v>
      </c>
      <c r="C68" s="194"/>
      <c r="D68" s="194"/>
      <c r="E68" s="194"/>
      <c r="F68" s="194"/>
      <c r="G68" s="195"/>
      <c r="H68" s="28">
        <f>H53*H67</f>
        <v>3.8241666666666676E-4</v>
      </c>
      <c r="I68" s="29">
        <f>$H$18*H68</f>
        <v>0</v>
      </c>
      <c r="J68" s="28">
        <f>J53*J67</f>
        <v>3.8241666666666676E-4</v>
      </c>
      <c r="K68" s="29">
        <f>$J$18*J68</f>
        <v>0</v>
      </c>
      <c r="L68" s="28">
        <f>L53*L67</f>
        <v>3.8241666666666676E-4</v>
      </c>
      <c r="M68" s="29">
        <f>$L$18*L68</f>
        <v>0</v>
      </c>
      <c r="N68" s="28">
        <f>N53*N67</f>
        <v>3.8241666666666676E-4</v>
      </c>
      <c r="O68" s="29">
        <f>$N$18*N68</f>
        <v>0</v>
      </c>
      <c r="P68" s="28">
        <f>P53*P67</f>
        <v>3.8241666666666676E-4</v>
      </c>
      <c r="Q68" s="29">
        <f>$P$18*J68</f>
        <v>0</v>
      </c>
      <c r="R68" s="28">
        <f>R53*R67</f>
        <v>3.8241666666666676E-4</v>
      </c>
      <c r="S68" s="29">
        <f>R68*R18</f>
        <v>0</v>
      </c>
    </row>
    <row r="69" spans="1:19" x14ac:dyDescent="0.3">
      <c r="A69" s="190" t="s">
        <v>111</v>
      </c>
      <c r="B69" s="191"/>
      <c r="C69" s="191"/>
      <c r="D69" s="191"/>
      <c r="E69" s="191"/>
      <c r="F69" s="191"/>
      <c r="G69" s="192"/>
      <c r="H69" s="68">
        <f t="shared" ref="H69:R69" si="14">SUM(H67:H68)</f>
        <v>1.46575E-3</v>
      </c>
      <c r="I69" s="69">
        <f t="shared" si="14"/>
        <v>0</v>
      </c>
      <c r="J69" s="68">
        <f t="shared" si="14"/>
        <v>1.46575E-3</v>
      </c>
      <c r="K69" s="69">
        <f t="shared" si="14"/>
        <v>0</v>
      </c>
      <c r="L69" s="68">
        <f t="shared" ref="L69:M69" si="15">SUM(L67:L68)</f>
        <v>1.46575E-3</v>
      </c>
      <c r="M69" s="69">
        <f t="shared" si="15"/>
        <v>0</v>
      </c>
      <c r="N69" s="68">
        <f t="shared" ref="N69:O69" si="16">SUM(N67:N68)</f>
        <v>1.46575E-3</v>
      </c>
      <c r="O69" s="69">
        <f t="shared" si="16"/>
        <v>0</v>
      </c>
      <c r="P69" s="68">
        <f t="shared" si="14"/>
        <v>1.46575E-3</v>
      </c>
      <c r="Q69" s="69">
        <f t="shared" ref="Q69:S69" si="17">SUM(Q67:Q68)</f>
        <v>0</v>
      </c>
      <c r="R69" s="68">
        <f t="shared" si="14"/>
        <v>1.46575E-3</v>
      </c>
      <c r="S69" s="69">
        <f t="shared" si="17"/>
        <v>0</v>
      </c>
    </row>
    <row r="70" spans="1:19" x14ac:dyDescent="0.3">
      <c r="A70" s="36" t="s">
        <v>60</v>
      </c>
      <c r="B70" s="186" t="s">
        <v>112</v>
      </c>
      <c r="C70" s="187"/>
      <c r="D70" s="187"/>
      <c r="E70" s="187"/>
      <c r="F70" s="188"/>
      <c r="G70" s="54">
        <v>0.05</v>
      </c>
      <c r="H70" s="28">
        <f t="shared" ref="H70:R70" si="18">$G$70*H69</f>
        <v>7.3287500000000013E-5</v>
      </c>
      <c r="I70" s="55">
        <f t="shared" si="18"/>
        <v>0</v>
      </c>
      <c r="J70" s="28">
        <f t="shared" si="18"/>
        <v>7.3287500000000013E-5</v>
      </c>
      <c r="K70" s="55">
        <f t="shared" si="18"/>
        <v>0</v>
      </c>
      <c r="L70" s="28">
        <f t="shared" ref="L70:M70" si="19">$G$70*L69</f>
        <v>7.3287500000000013E-5</v>
      </c>
      <c r="M70" s="55">
        <f t="shared" si="19"/>
        <v>0</v>
      </c>
      <c r="N70" s="28">
        <f t="shared" ref="N70:O70" si="20">$G$70*N69</f>
        <v>7.3287500000000013E-5</v>
      </c>
      <c r="O70" s="55">
        <f t="shared" si="20"/>
        <v>0</v>
      </c>
      <c r="P70" s="28">
        <f t="shared" si="18"/>
        <v>7.3287500000000013E-5</v>
      </c>
      <c r="Q70" s="55">
        <f t="shared" ref="Q70" si="21">$G$70*Q69</f>
        <v>0</v>
      </c>
      <c r="R70" s="28">
        <f t="shared" si="18"/>
        <v>7.3287500000000013E-5</v>
      </c>
      <c r="S70" s="55">
        <f>R70*R18</f>
        <v>0</v>
      </c>
    </row>
    <row r="71" spans="1:19" x14ac:dyDescent="0.3">
      <c r="A71" s="175" t="s">
        <v>62</v>
      </c>
      <c r="B71" s="176"/>
      <c r="C71" s="176"/>
      <c r="D71" s="176"/>
      <c r="E71" s="176"/>
      <c r="F71" s="176"/>
      <c r="G71" s="177"/>
      <c r="H71" s="57">
        <f t="shared" ref="H71:R71" si="22">SUM(H69:H70)</f>
        <v>1.5390375E-3</v>
      </c>
      <c r="I71" s="70">
        <f t="shared" si="22"/>
        <v>0</v>
      </c>
      <c r="J71" s="57">
        <f t="shared" si="22"/>
        <v>1.5390375E-3</v>
      </c>
      <c r="K71" s="70">
        <f t="shared" si="22"/>
        <v>0</v>
      </c>
      <c r="L71" s="57">
        <f t="shared" ref="L71:M71" si="23">SUM(L69:L70)</f>
        <v>1.5390375E-3</v>
      </c>
      <c r="M71" s="70">
        <f t="shared" si="23"/>
        <v>0</v>
      </c>
      <c r="N71" s="57">
        <f t="shared" ref="N71:O71" si="24">SUM(N69:N70)</f>
        <v>1.5390375E-3</v>
      </c>
      <c r="O71" s="70">
        <f t="shared" si="24"/>
        <v>0</v>
      </c>
      <c r="P71" s="57">
        <f t="shared" si="22"/>
        <v>1.5390375E-3</v>
      </c>
      <c r="Q71" s="70">
        <f t="shared" ref="Q71:S71" si="25">SUM(Q69:Q70)</f>
        <v>0</v>
      </c>
      <c r="R71" s="57">
        <f t="shared" si="22"/>
        <v>1.5390375E-3</v>
      </c>
      <c r="S71" s="70">
        <f t="shared" si="25"/>
        <v>0</v>
      </c>
    </row>
    <row r="72" spans="1:19" ht="7.5" customHeight="1" x14ac:dyDescent="0.3">
      <c r="A72" s="51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3"/>
    </row>
    <row r="73" spans="1:19" ht="82.5" customHeight="1" x14ac:dyDescent="0.3">
      <c r="A73" s="32" t="s">
        <v>113</v>
      </c>
      <c r="B73" s="183" t="s">
        <v>114</v>
      </c>
      <c r="C73" s="183"/>
      <c r="D73" s="183"/>
      <c r="E73" s="183"/>
      <c r="F73" s="183"/>
      <c r="G73" s="183"/>
      <c r="H73" s="183" t="s">
        <v>34</v>
      </c>
      <c r="I73" s="183"/>
      <c r="J73" s="183" t="s">
        <v>35</v>
      </c>
      <c r="K73" s="183"/>
      <c r="L73" s="183" t="s">
        <v>36</v>
      </c>
      <c r="M73" s="183"/>
      <c r="N73" s="184" t="s">
        <v>37</v>
      </c>
      <c r="O73" s="185"/>
      <c r="P73" s="184" t="s">
        <v>210</v>
      </c>
      <c r="Q73" s="185"/>
      <c r="R73" s="184" t="s">
        <v>38</v>
      </c>
      <c r="S73" s="185"/>
    </row>
    <row r="74" spans="1:19" x14ac:dyDescent="0.3">
      <c r="A74" s="184" t="s">
        <v>115</v>
      </c>
      <c r="B74" s="189"/>
      <c r="C74" s="189"/>
      <c r="D74" s="189"/>
      <c r="E74" s="189"/>
      <c r="F74" s="189"/>
      <c r="G74" s="185"/>
      <c r="H74" s="33" t="s">
        <v>45</v>
      </c>
      <c r="I74" s="33" t="s">
        <v>46</v>
      </c>
      <c r="J74" s="33" t="s">
        <v>45</v>
      </c>
      <c r="K74" s="33" t="s">
        <v>46</v>
      </c>
      <c r="L74" s="33" t="s">
        <v>45</v>
      </c>
      <c r="M74" s="33" t="s">
        <v>46</v>
      </c>
      <c r="N74" s="33" t="s">
        <v>45</v>
      </c>
      <c r="O74" s="33" t="s">
        <v>46</v>
      </c>
      <c r="P74" s="33" t="s">
        <v>45</v>
      </c>
      <c r="Q74" s="33" t="s">
        <v>46</v>
      </c>
      <c r="R74" s="33" t="s">
        <v>45</v>
      </c>
      <c r="S74" s="33" t="s">
        <v>46</v>
      </c>
    </row>
    <row r="75" spans="1:19" x14ac:dyDescent="0.3">
      <c r="A75" s="59" t="s">
        <v>51</v>
      </c>
      <c r="B75" s="199" t="s">
        <v>116</v>
      </c>
      <c r="C75" s="199"/>
      <c r="D75" s="199"/>
      <c r="E75" s="199"/>
      <c r="F75" s="199"/>
      <c r="G75" s="199"/>
      <c r="H75" s="77">
        <f>5/100*1/12</f>
        <v>4.1666666666666666E-3</v>
      </c>
      <c r="I75" s="61">
        <f t="shared" ref="I75:I88" si="26">$H$18*H75</f>
        <v>0</v>
      </c>
      <c r="J75" s="77">
        <f>5/100*1/12</f>
        <v>4.1666666666666666E-3</v>
      </c>
      <c r="K75" s="61">
        <f>$J$18*J75</f>
        <v>0</v>
      </c>
      <c r="L75" s="77">
        <f>5/100*1/12</f>
        <v>4.1666666666666666E-3</v>
      </c>
      <c r="M75" s="61">
        <f>$L$18*L75</f>
        <v>0</v>
      </c>
      <c r="N75" s="77">
        <f>5/100*1/12</f>
        <v>4.1666666666666666E-3</v>
      </c>
      <c r="O75" s="61">
        <f>$N$18*N75</f>
        <v>0</v>
      </c>
      <c r="P75" s="77">
        <f>5/100*1/12</f>
        <v>4.1666666666666666E-3</v>
      </c>
      <c r="Q75" s="61">
        <f>$P$18*J75</f>
        <v>0</v>
      </c>
      <c r="R75" s="77">
        <f>5/100*1/12</f>
        <v>4.1666666666666666E-3</v>
      </c>
      <c r="S75" s="61">
        <f>R75*R18</f>
        <v>0</v>
      </c>
    </row>
    <row r="76" spans="1:19" ht="27" customHeight="1" x14ac:dyDescent="0.3">
      <c r="A76" s="50" t="s">
        <v>53</v>
      </c>
      <c r="B76" s="200" t="s">
        <v>117</v>
      </c>
      <c r="C76" s="200"/>
      <c r="D76" s="200"/>
      <c r="E76" s="200"/>
      <c r="F76" s="200"/>
      <c r="G76" s="200"/>
      <c r="H76" s="88">
        <f>1/12*H75</f>
        <v>3.4722222222222218E-4</v>
      </c>
      <c r="I76" s="67">
        <f t="shared" si="26"/>
        <v>0</v>
      </c>
      <c r="J76" s="88">
        <f>1/12*J75</f>
        <v>3.4722222222222218E-4</v>
      </c>
      <c r="K76" s="67">
        <f>$J$18*J76</f>
        <v>0</v>
      </c>
      <c r="L76" s="88">
        <f>1/12*L75</f>
        <v>3.4722222222222218E-4</v>
      </c>
      <c r="M76" s="67">
        <f>$L$18*L76</f>
        <v>0</v>
      </c>
      <c r="N76" s="88">
        <f>1/12*N75</f>
        <v>3.4722222222222218E-4</v>
      </c>
      <c r="O76" s="67">
        <f>$N$18*N76</f>
        <v>0</v>
      </c>
      <c r="P76" s="87">
        <f>1/12*P75</f>
        <v>3.4722222222222218E-4</v>
      </c>
      <c r="Q76" s="67">
        <f>$P$18*J76</f>
        <v>0</v>
      </c>
      <c r="R76" s="87">
        <f>1/12*R75</f>
        <v>3.4722222222222218E-4</v>
      </c>
      <c r="S76" s="67">
        <f>R76*R18</f>
        <v>0</v>
      </c>
    </row>
    <row r="77" spans="1:19" x14ac:dyDescent="0.3">
      <c r="A77" s="190" t="s">
        <v>109</v>
      </c>
      <c r="B77" s="191"/>
      <c r="C77" s="191"/>
      <c r="D77" s="191"/>
      <c r="E77" s="191"/>
      <c r="F77" s="191"/>
      <c r="G77" s="192"/>
      <c r="H77" s="68">
        <f t="shared" ref="H77:P77" si="27">SUM(H75:H76)</f>
        <v>4.5138888888888885E-3</v>
      </c>
      <c r="I77" s="69">
        <f t="shared" si="27"/>
        <v>0</v>
      </c>
      <c r="J77" s="68">
        <f t="shared" si="27"/>
        <v>4.5138888888888885E-3</v>
      </c>
      <c r="K77" s="69">
        <f t="shared" si="27"/>
        <v>0</v>
      </c>
      <c r="L77" s="68">
        <f t="shared" ref="L77:M77" si="28">SUM(L75:L76)</f>
        <v>4.5138888888888885E-3</v>
      </c>
      <c r="M77" s="69">
        <f t="shared" si="28"/>
        <v>0</v>
      </c>
      <c r="N77" s="68">
        <f t="shared" ref="N77:O77" si="29">SUM(N75:N76)</f>
        <v>4.5138888888888885E-3</v>
      </c>
      <c r="O77" s="69">
        <f t="shared" si="29"/>
        <v>0</v>
      </c>
      <c r="P77" s="68">
        <f t="shared" si="27"/>
        <v>4.5138888888888885E-3</v>
      </c>
      <c r="Q77" s="69">
        <f t="shared" ref="Q77:S77" si="30">SUM(Q75:Q76)</f>
        <v>0</v>
      </c>
      <c r="R77" s="68">
        <f t="shared" si="30"/>
        <v>4.5138888888888885E-3</v>
      </c>
      <c r="S77" s="69">
        <f t="shared" si="30"/>
        <v>0</v>
      </c>
    </row>
    <row r="78" spans="1:19" x14ac:dyDescent="0.3">
      <c r="A78" s="59" t="s">
        <v>67</v>
      </c>
      <c r="B78" s="199" t="s">
        <v>118</v>
      </c>
      <c r="C78" s="199"/>
      <c r="D78" s="199"/>
      <c r="E78" s="199"/>
      <c r="F78" s="199"/>
      <c r="G78" s="199"/>
      <c r="H78" s="77">
        <f>H50*H77</f>
        <v>3.6111111111111109E-4</v>
      </c>
      <c r="I78" s="61">
        <f t="shared" si="26"/>
        <v>0</v>
      </c>
      <c r="J78" s="77">
        <f>J50*J77</f>
        <v>3.6111111111111109E-4</v>
      </c>
      <c r="K78" s="61">
        <f>$J$18*J78</f>
        <v>0</v>
      </c>
      <c r="L78" s="77">
        <f>L50*L77</f>
        <v>3.6111111111111109E-4</v>
      </c>
      <c r="M78" s="61">
        <f>$L$18*L78</f>
        <v>0</v>
      </c>
      <c r="N78" s="77">
        <f>N50*N77</f>
        <v>3.6111111111111109E-4</v>
      </c>
      <c r="O78" s="61">
        <f>$N$18*N78</f>
        <v>0</v>
      </c>
      <c r="P78" s="77">
        <f>P50*P77</f>
        <v>3.6111111111111109E-4</v>
      </c>
      <c r="Q78" s="61">
        <f>$P$18*J78</f>
        <v>0</v>
      </c>
      <c r="R78" s="77">
        <f>R50*R77</f>
        <v>3.6111111111111109E-4</v>
      </c>
      <c r="S78" s="61">
        <f>R78*R18</f>
        <v>0</v>
      </c>
    </row>
    <row r="79" spans="1:19" x14ac:dyDescent="0.3">
      <c r="A79" s="62" t="s">
        <v>60</v>
      </c>
      <c r="B79" s="197" t="s">
        <v>119</v>
      </c>
      <c r="C79" s="197"/>
      <c r="D79" s="197"/>
      <c r="E79" s="197"/>
      <c r="F79" s="197"/>
      <c r="G79" s="197"/>
      <c r="H79" s="78">
        <f>40/100*H78</f>
        <v>1.4444444444444444E-4</v>
      </c>
      <c r="I79" s="64">
        <f t="shared" si="26"/>
        <v>0</v>
      </c>
      <c r="J79" s="78">
        <f>40/100*J78</f>
        <v>1.4444444444444444E-4</v>
      </c>
      <c r="K79" s="64">
        <f>$J$18*J79</f>
        <v>0</v>
      </c>
      <c r="L79" s="78">
        <f>40/100*L78</f>
        <v>1.4444444444444444E-4</v>
      </c>
      <c r="M79" s="64">
        <f>$L$18*L79</f>
        <v>0</v>
      </c>
      <c r="N79" s="78">
        <f>40/100*N78</f>
        <v>1.4444444444444444E-4</v>
      </c>
      <c r="O79" s="64">
        <f>$N$18*N79</f>
        <v>0</v>
      </c>
      <c r="P79" s="78">
        <f>40/100*P78</f>
        <v>1.4444444444444444E-4</v>
      </c>
      <c r="Q79" s="64">
        <f>$P$18*J79</f>
        <v>0</v>
      </c>
      <c r="R79" s="78">
        <f>40/100*R78</f>
        <v>1.4444444444444444E-4</v>
      </c>
      <c r="S79" s="64">
        <f>R79*R18</f>
        <v>0</v>
      </c>
    </row>
    <row r="80" spans="1:19" ht="27" customHeight="1" x14ac:dyDescent="0.3">
      <c r="A80" s="50" t="s">
        <v>70</v>
      </c>
      <c r="B80" s="198" t="s">
        <v>120</v>
      </c>
      <c r="C80" s="198"/>
      <c r="D80" s="198"/>
      <c r="E80" s="198"/>
      <c r="F80" s="198"/>
      <c r="G80" s="198"/>
      <c r="H80" s="87">
        <f>10/100*H78</f>
        <v>3.6111111111111109E-5</v>
      </c>
      <c r="I80" s="67">
        <f t="shared" si="26"/>
        <v>0</v>
      </c>
      <c r="J80" s="87">
        <f>10/100*J78</f>
        <v>3.6111111111111109E-5</v>
      </c>
      <c r="K80" s="67">
        <f>$J$18*J80</f>
        <v>0</v>
      </c>
      <c r="L80" s="87">
        <f>10/100*L78</f>
        <v>3.6111111111111109E-5</v>
      </c>
      <c r="M80" s="67">
        <f>$L$18*L80</f>
        <v>0</v>
      </c>
      <c r="N80" s="87">
        <f>10/100*N78</f>
        <v>3.6111111111111109E-5</v>
      </c>
      <c r="O80" s="67">
        <f>$N$18*N80</f>
        <v>0</v>
      </c>
      <c r="P80" s="87">
        <f>10/100*P78</f>
        <v>3.6111111111111109E-5</v>
      </c>
      <c r="Q80" s="67">
        <f>$P$18*J80</f>
        <v>0</v>
      </c>
      <c r="R80" s="87">
        <f>10/100*R78</f>
        <v>3.6111111111111109E-5</v>
      </c>
      <c r="S80" s="67">
        <f>R80*R18</f>
        <v>0</v>
      </c>
    </row>
    <row r="81" spans="1:19" x14ac:dyDescent="0.3">
      <c r="A81" s="190" t="s">
        <v>121</v>
      </c>
      <c r="B81" s="191"/>
      <c r="C81" s="191"/>
      <c r="D81" s="191"/>
      <c r="E81" s="191"/>
      <c r="F81" s="191"/>
      <c r="G81" s="192"/>
      <c r="H81" s="68">
        <f t="shared" ref="H81:P81" si="31">SUM(H77:H80)</f>
        <v>5.0555555555555545E-3</v>
      </c>
      <c r="I81" s="69">
        <f t="shared" si="31"/>
        <v>0</v>
      </c>
      <c r="J81" s="68">
        <f t="shared" si="31"/>
        <v>5.0555555555555545E-3</v>
      </c>
      <c r="K81" s="69">
        <f t="shared" si="31"/>
        <v>0</v>
      </c>
      <c r="L81" s="68">
        <f t="shared" ref="L81:M81" si="32">SUM(L77:L80)</f>
        <v>5.0555555555555545E-3</v>
      </c>
      <c r="M81" s="69">
        <f t="shared" si="32"/>
        <v>0</v>
      </c>
      <c r="N81" s="68">
        <f t="shared" ref="N81:O81" si="33">SUM(N77:N80)</f>
        <v>5.0555555555555545E-3</v>
      </c>
      <c r="O81" s="69">
        <f t="shared" si="33"/>
        <v>0</v>
      </c>
      <c r="P81" s="68">
        <f t="shared" si="31"/>
        <v>5.0555555555555545E-3</v>
      </c>
      <c r="Q81" s="69">
        <f t="shared" ref="Q81:S81" si="34">SUM(Q77:Q80)</f>
        <v>0</v>
      </c>
      <c r="R81" s="68">
        <f t="shared" si="34"/>
        <v>5.0555555555555545E-3</v>
      </c>
      <c r="S81" s="69">
        <f t="shared" si="34"/>
        <v>0</v>
      </c>
    </row>
    <row r="82" spans="1:19" x14ac:dyDescent="0.3">
      <c r="A82" s="59" t="s">
        <v>72</v>
      </c>
      <c r="B82" s="199" t="s">
        <v>122</v>
      </c>
      <c r="C82" s="199"/>
      <c r="D82" s="199"/>
      <c r="E82" s="199"/>
      <c r="F82" s="199"/>
      <c r="G82" s="199"/>
      <c r="H82" s="77">
        <f>7/30/12</f>
        <v>1.9444444444444445E-2</v>
      </c>
      <c r="I82" s="61">
        <f t="shared" si="26"/>
        <v>0</v>
      </c>
      <c r="J82" s="77">
        <f>7/30/12</f>
        <v>1.9444444444444445E-2</v>
      </c>
      <c r="K82" s="61">
        <f>$J$18*J82</f>
        <v>0</v>
      </c>
      <c r="L82" s="77">
        <f>7/30/12</f>
        <v>1.9444444444444445E-2</v>
      </c>
      <c r="M82" s="61">
        <f>$L$18*L82</f>
        <v>0</v>
      </c>
      <c r="N82" s="77">
        <f>7/30/12</f>
        <v>1.9444444444444445E-2</v>
      </c>
      <c r="O82" s="61">
        <f>$N$18*N82</f>
        <v>0</v>
      </c>
      <c r="P82" s="77">
        <f>7/30/12</f>
        <v>1.9444444444444445E-2</v>
      </c>
      <c r="Q82" s="61">
        <f>$P$18*J82</f>
        <v>0</v>
      </c>
      <c r="R82" s="77">
        <f>7/30/12</f>
        <v>1.9444444444444445E-2</v>
      </c>
      <c r="S82" s="61">
        <f>R82*R18</f>
        <v>0</v>
      </c>
    </row>
    <row r="83" spans="1:19" ht="27" customHeight="1" x14ac:dyDescent="0.3">
      <c r="A83" s="62" t="s">
        <v>74</v>
      </c>
      <c r="B83" s="196" t="s">
        <v>123</v>
      </c>
      <c r="C83" s="196"/>
      <c r="D83" s="196"/>
      <c r="E83" s="196"/>
      <c r="F83" s="196"/>
      <c r="G83" s="196"/>
      <c r="H83" s="78">
        <f>H53*H82</f>
        <v>6.8638888888888907E-3</v>
      </c>
      <c r="I83" s="64">
        <f t="shared" si="26"/>
        <v>0</v>
      </c>
      <c r="J83" s="78">
        <f>J53*J82</f>
        <v>6.8638888888888907E-3</v>
      </c>
      <c r="K83" s="64">
        <f>$J$18*J83</f>
        <v>0</v>
      </c>
      <c r="L83" s="78">
        <f>L53*L82</f>
        <v>6.8638888888888907E-3</v>
      </c>
      <c r="M83" s="64">
        <f>$L$18*L83</f>
        <v>0</v>
      </c>
      <c r="N83" s="78">
        <f>N53*N82</f>
        <v>6.8638888888888907E-3</v>
      </c>
      <c r="O83" s="64">
        <f>$N$18*N83</f>
        <v>0</v>
      </c>
      <c r="P83" s="78">
        <f>P53*P82</f>
        <v>6.8638888888888907E-3</v>
      </c>
      <c r="Q83" s="64">
        <f>$P$18*J83</f>
        <v>0</v>
      </c>
      <c r="R83" s="78">
        <f>R53*R82</f>
        <v>6.8638888888888907E-3</v>
      </c>
      <c r="S83" s="64">
        <f>R83*R18</f>
        <v>0</v>
      </c>
    </row>
    <row r="84" spans="1:19" x14ac:dyDescent="0.3">
      <c r="A84" s="62" t="s">
        <v>76</v>
      </c>
      <c r="B84" s="197" t="s">
        <v>124</v>
      </c>
      <c r="C84" s="197"/>
      <c r="D84" s="197"/>
      <c r="E84" s="197"/>
      <c r="F84" s="197"/>
      <c r="G84" s="197"/>
      <c r="H84" s="78">
        <f>40/100*H50*H82</f>
        <v>6.2222222222222225E-4</v>
      </c>
      <c r="I84" s="64">
        <f t="shared" si="26"/>
        <v>0</v>
      </c>
      <c r="J84" s="78">
        <f>40/100*J50*J82</f>
        <v>6.2222222222222225E-4</v>
      </c>
      <c r="K84" s="64">
        <f>$J$18*J84</f>
        <v>0</v>
      </c>
      <c r="L84" s="78">
        <f>40/100*L50*L82</f>
        <v>6.2222222222222225E-4</v>
      </c>
      <c r="M84" s="64">
        <f>$L$18*L84</f>
        <v>0</v>
      </c>
      <c r="N84" s="78">
        <f>40/100*N50*N82</f>
        <v>6.2222222222222225E-4</v>
      </c>
      <c r="O84" s="64">
        <f>$N$18*N84</f>
        <v>0</v>
      </c>
      <c r="P84" s="78">
        <f>40/100*P50*P82</f>
        <v>6.2222222222222225E-4</v>
      </c>
      <c r="Q84" s="64">
        <f>$P$18*J84</f>
        <v>0</v>
      </c>
      <c r="R84" s="78">
        <f>40/100*R50*R82</f>
        <v>6.2222222222222225E-4</v>
      </c>
      <c r="S84" s="64">
        <f>R84*R18</f>
        <v>0</v>
      </c>
    </row>
    <row r="85" spans="1:19" x14ac:dyDescent="0.3">
      <c r="A85" s="50" t="s">
        <v>48</v>
      </c>
      <c r="B85" s="198" t="s">
        <v>125</v>
      </c>
      <c r="C85" s="198"/>
      <c r="D85" s="198"/>
      <c r="E85" s="198"/>
      <c r="F85" s="198"/>
      <c r="G85" s="198"/>
      <c r="H85" s="87">
        <f>10/100*H50*H82</f>
        <v>1.5555555555555556E-4</v>
      </c>
      <c r="I85" s="67">
        <f t="shared" si="26"/>
        <v>0</v>
      </c>
      <c r="J85" s="87">
        <f>10/100*J50*J82</f>
        <v>1.5555555555555556E-4</v>
      </c>
      <c r="K85" s="67">
        <f>$J$18*J85</f>
        <v>0</v>
      </c>
      <c r="L85" s="87">
        <f>10/100*L50*L82</f>
        <v>1.5555555555555556E-4</v>
      </c>
      <c r="M85" s="67">
        <f>$L$18*L85</f>
        <v>0</v>
      </c>
      <c r="N85" s="87">
        <f>10/100*N50*N82</f>
        <v>1.5555555555555556E-4</v>
      </c>
      <c r="O85" s="67">
        <f>$N$18*N85</f>
        <v>0</v>
      </c>
      <c r="P85" s="87">
        <f>10/100*P50*P82</f>
        <v>1.5555555555555556E-4</v>
      </c>
      <c r="Q85" s="67">
        <f>$P$18*J85</f>
        <v>0</v>
      </c>
      <c r="R85" s="87">
        <f>10/100*R50*R82</f>
        <v>1.5555555555555556E-4</v>
      </c>
      <c r="S85" s="67">
        <f>R85*R18</f>
        <v>0</v>
      </c>
    </row>
    <row r="86" spans="1:19" x14ac:dyDescent="0.3">
      <c r="A86" s="190" t="s">
        <v>111</v>
      </c>
      <c r="B86" s="191"/>
      <c r="C86" s="191"/>
      <c r="D86" s="191"/>
      <c r="E86" s="191"/>
      <c r="F86" s="191"/>
      <c r="G86" s="192"/>
      <c r="H86" s="68">
        <f t="shared" ref="H86:P86" si="35">SUM(H82:H85)</f>
        <v>2.7086111111111113E-2</v>
      </c>
      <c r="I86" s="71">
        <f t="shared" si="35"/>
        <v>0</v>
      </c>
      <c r="J86" s="68">
        <f t="shared" si="35"/>
        <v>2.7086111111111113E-2</v>
      </c>
      <c r="K86" s="71">
        <f t="shared" si="35"/>
        <v>0</v>
      </c>
      <c r="L86" s="68">
        <f t="shared" ref="L86:M86" si="36">SUM(L82:L85)</f>
        <v>2.7086111111111113E-2</v>
      </c>
      <c r="M86" s="71">
        <f t="shared" si="36"/>
        <v>0</v>
      </c>
      <c r="N86" s="68">
        <f t="shared" ref="N86:O86" si="37">SUM(N82:N85)</f>
        <v>2.7086111111111113E-2</v>
      </c>
      <c r="O86" s="71">
        <f t="shared" si="37"/>
        <v>0</v>
      </c>
      <c r="P86" s="68">
        <f t="shared" si="35"/>
        <v>2.7086111111111113E-2</v>
      </c>
      <c r="Q86" s="71">
        <f t="shared" ref="Q86:S86" si="38">SUM(Q82:Q85)</f>
        <v>0</v>
      </c>
      <c r="R86" s="68">
        <f t="shared" si="38"/>
        <v>2.7086111111111113E-2</v>
      </c>
      <c r="S86" s="71">
        <f t="shared" si="38"/>
        <v>0</v>
      </c>
    </row>
    <row r="87" spans="1:19" x14ac:dyDescent="0.3">
      <c r="A87" s="59" t="s">
        <v>126</v>
      </c>
      <c r="B87" s="199" t="s">
        <v>127</v>
      </c>
      <c r="C87" s="199"/>
      <c r="D87" s="199"/>
      <c r="E87" s="199"/>
      <c r="F87" s="199"/>
      <c r="G87" s="199"/>
      <c r="H87" s="77">
        <v>0.05</v>
      </c>
      <c r="I87" s="61">
        <f t="shared" si="26"/>
        <v>0</v>
      </c>
      <c r="J87" s="77">
        <v>0.05</v>
      </c>
      <c r="K87" s="61">
        <f>$J$18*J87</f>
        <v>0</v>
      </c>
      <c r="L87" s="77">
        <v>0.05</v>
      </c>
      <c r="M87" s="61">
        <f>$L$18*L87</f>
        <v>0</v>
      </c>
      <c r="N87" s="77">
        <v>0.05</v>
      </c>
      <c r="O87" s="61">
        <f>$N$18*N87</f>
        <v>0</v>
      </c>
      <c r="P87" s="77">
        <v>0.05</v>
      </c>
      <c r="Q87" s="61">
        <f>$P$18*J87</f>
        <v>0</v>
      </c>
      <c r="R87" s="77">
        <v>0.05</v>
      </c>
      <c r="S87" s="61">
        <f>R87*R18</f>
        <v>0</v>
      </c>
    </row>
    <row r="88" spans="1:19" x14ac:dyDescent="0.3">
      <c r="A88" s="50" t="s">
        <v>128</v>
      </c>
      <c r="B88" s="198" t="s">
        <v>129</v>
      </c>
      <c r="C88" s="198"/>
      <c r="D88" s="198"/>
      <c r="E88" s="198"/>
      <c r="F88" s="198"/>
      <c r="G88" s="198"/>
      <c r="H88" s="87">
        <f>100/100*10/100*H50</f>
        <v>8.0000000000000002E-3</v>
      </c>
      <c r="I88" s="67">
        <f t="shared" si="26"/>
        <v>0</v>
      </c>
      <c r="J88" s="87">
        <f>100/100*10/100*J50</f>
        <v>8.0000000000000002E-3</v>
      </c>
      <c r="K88" s="67">
        <f>$J$18*J88</f>
        <v>0</v>
      </c>
      <c r="L88" s="87">
        <f>100/100*10/100*L50</f>
        <v>8.0000000000000002E-3</v>
      </c>
      <c r="M88" s="67">
        <f>$L$18*L88</f>
        <v>0</v>
      </c>
      <c r="N88" s="87">
        <f>100/100*10/100*N50</f>
        <v>8.0000000000000002E-3</v>
      </c>
      <c r="O88" s="67">
        <f>$N$18*N88</f>
        <v>0</v>
      </c>
      <c r="P88" s="87">
        <f>100/100*10/100*P50</f>
        <v>8.0000000000000002E-3</v>
      </c>
      <c r="Q88" s="67">
        <f>$P$18*J88</f>
        <v>0</v>
      </c>
      <c r="R88" s="87">
        <f>100/100*10/100*R50</f>
        <v>8.0000000000000002E-3</v>
      </c>
      <c r="S88" s="67">
        <f>R88*R18</f>
        <v>0</v>
      </c>
    </row>
    <row r="89" spans="1:19" x14ac:dyDescent="0.3">
      <c r="A89" s="190" t="s">
        <v>130</v>
      </c>
      <c r="B89" s="191"/>
      <c r="C89" s="191"/>
      <c r="D89" s="191"/>
      <c r="E89" s="191"/>
      <c r="F89" s="191"/>
      <c r="G89" s="192"/>
      <c r="H89" s="68">
        <f t="shared" ref="H89:P89" si="39">SUM(H87:H88)</f>
        <v>5.8000000000000003E-2</v>
      </c>
      <c r="I89" s="69">
        <f t="shared" si="39"/>
        <v>0</v>
      </c>
      <c r="J89" s="68">
        <f t="shared" si="39"/>
        <v>5.8000000000000003E-2</v>
      </c>
      <c r="K89" s="69">
        <f t="shared" si="39"/>
        <v>0</v>
      </c>
      <c r="L89" s="68">
        <f t="shared" ref="L89:M89" si="40">SUM(L87:L88)</f>
        <v>5.8000000000000003E-2</v>
      </c>
      <c r="M89" s="69">
        <f t="shared" si="40"/>
        <v>0</v>
      </c>
      <c r="N89" s="68">
        <f t="shared" ref="N89:O89" si="41">SUM(N87:N88)</f>
        <v>5.8000000000000003E-2</v>
      </c>
      <c r="O89" s="69">
        <f t="shared" si="41"/>
        <v>0</v>
      </c>
      <c r="P89" s="68">
        <f t="shared" si="39"/>
        <v>5.8000000000000003E-2</v>
      </c>
      <c r="Q89" s="69">
        <f t="shared" ref="Q89:R89" si="42">SUM(Q87:Q88)</f>
        <v>0</v>
      </c>
      <c r="R89" s="68">
        <f t="shared" si="42"/>
        <v>5.8000000000000003E-2</v>
      </c>
      <c r="S89" s="69">
        <f t="shared" ref="S89" si="43">SUM(S87:S88)</f>
        <v>0</v>
      </c>
    </row>
    <row r="90" spans="1:19" x14ac:dyDescent="0.3">
      <c r="A90" s="190" t="s">
        <v>131</v>
      </c>
      <c r="B90" s="191"/>
      <c r="C90" s="191"/>
      <c r="D90" s="191"/>
      <c r="E90" s="191"/>
      <c r="F90" s="191"/>
      <c r="G90" s="192"/>
      <c r="H90" s="72">
        <f t="shared" ref="H90:P90" si="44">SUM(H81,H86,H89)</f>
        <v>9.0141666666666675E-2</v>
      </c>
      <c r="I90" s="73">
        <f t="shared" si="44"/>
        <v>0</v>
      </c>
      <c r="J90" s="72">
        <f t="shared" si="44"/>
        <v>9.0141666666666675E-2</v>
      </c>
      <c r="K90" s="73">
        <f t="shared" si="44"/>
        <v>0</v>
      </c>
      <c r="L90" s="72">
        <f t="shared" ref="L90:M90" si="45">SUM(L81,L86,L89)</f>
        <v>9.0141666666666675E-2</v>
      </c>
      <c r="M90" s="73">
        <f t="shared" si="45"/>
        <v>0</v>
      </c>
      <c r="N90" s="72">
        <f t="shared" ref="N90:O90" si="46">SUM(N81,N86,N89)</f>
        <v>9.0141666666666675E-2</v>
      </c>
      <c r="O90" s="73">
        <f t="shared" si="46"/>
        <v>0</v>
      </c>
      <c r="P90" s="72">
        <f t="shared" si="44"/>
        <v>9.0141666666666675E-2</v>
      </c>
      <c r="Q90" s="73">
        <f t="shared" ref="Q90:R90" si="47">SUM(Q81,Q86,Q89)</f>
        <v>0</v>
      </c>
      <c r="R90" s="72">
        <f t="shared" si="47"/>
        <v>9.0141666666666675E-2</v>
      </c>
      <c r="S90" s="73">
        <f t="shared" ref="S90" si="48">SUM(S81,S86,S89)</f>
        <v>0</v>
      </c>
    </row>
    <row r="91" spans="1:19" x14ac:dyDescent="0.3">
      <c r="A91" s="36" t="s">
        <v>132</v>
      </c>
      <c r="B91" s="186" t="s">
        <v>112</v>
      </c>
      <c r="C91" s="187"/>
      <c r="D91" s="187"/>
      <c r="E91" s="187"/>
      <c r="F91" s="188"/>
      <c r="G91" s="46">
        <v>0.05</v>
      </c>
      <c r="H91" s="28">
        <f t="shared" ref="H91:P91" si="49">$G$91*H90</f>
        <v>4.5070833333333343E-3</v>
      </c>
      <c r="I91" s="55">
        <f t="shared" si="49"/>
        <v>0</v>
      </c>
      <c r="J91" s="28">
        <f t="shared" si="49"/>
        <v>4.5070833333333343E-3</v>
      </c>
      <c r="K91" s="55">
        <f t="shared" si="49"/>
        <v>0</v>
      </c>
      <c r="L91" s="28">
        <f t="shared" ref="L91:M91" si="50">$G$91*L90</f>
        <v>4.5070833333333343E-3</v>
      </c>
      <c r="M91" s="55">
        <f t="shared" si="50"/>
        <v>0</v>
      </c>
      <c r="N91" s="28">
        <f t="shared" ref="N91:O91" si="51">$G$91*N90</f>
        <v>4.5070833333333343E-3</v>
      </c>
      <c r="O91" s="55">
        <f t="shared" si="51"/>
        <v>0</v>
      </c>
      <c r="P91" s="28">
        <f t="shared" si="49"/>
        <v>4.5070833333333343E-3</v>
      </c>
      <c r="Q91" s="55">
        <f t="shared" ref="Q91:R91" si="52">$G$91*Q90</f>
        <v>0</v>
      </c>
      <c r="R91" s="28">
        <f t="shared" si="52"/>
        <v>4.5070833333333343E-3</v>
      </c>
      <c r="S91" s="55">
        <f>R91*R18</f>
        <v>0</v>
      </c>
    </row>
    <row r="92" spans="1:19" x14ac:dyDescent="0.3">
      <c r="A92" s="175" t="s">
        <v>62</v>
      </c>
      <c r="B92" s="176"/>
      <c r="C92" s="176"/>
      <c r="D92" s="176"/>
      <c r="E92" s="176"/>
      <c r="F92" s="176"/>
      <c r="G92" s="177"/>
      <c r="H92" s="57">
        <f t="shared" ref="H92:P92" si="53">SUM(H90,H91)</f>
        <v>9.4648750000000004E-2</v>
      </c>
      <c r="I92" s="70">
        <f t="shared" si="53"/>
        <v>0</v>
      </c>
      <c r="J92" s="57">
        <f t="shared" si="53"/>
        <v>9.4648750000000004E-2</v>
      </c>
      <c r="K92" s="70">
        <f t="shared" si="53"/>
        <v>0</v>
      </c>
      <c r="L92" s="57">
        <f t="shared" ref="L92:M92" si="54">SUM(L90,L91)</f>
        <v>9.4648750000000004E-2</v>
      </c>
      <c r="M92" s="70">
        <f t="shared" si="54"/>
        <v>0</v>
      </c>
      <c r="N92" s="57">
        <f t="shared" ref="N92:O92" si="55">SUM(N90,N91)</f>
        <v>9.4648750000000004E-2</v>
      </c>
      <c r="O92" s="70">
        <f t="shared" si="55"/>
        <v>0</v>
      </c>
      <c r="P92" s="57">
        <f t="shared" si="53"/>
        <v>9.4648750000000004E-2</v>
      </c>
      <c r="Q92" s="70">
        <f t="shared" ref="Q92:S92" si="56">SUM(Q90,Q91)</f>
        <v>0</v>
      </c>
      <c r="R92" s="57">
        <f t="shared" si="56"/>
        <v>9.4648750000000004E-2</v>
      </c>
      <c r="S92" s="70">
        <f t="shared" si="56"/>
        <v>0</v>
      </c>
    </row>
    <row r="93" spans="1:19" ht="7.5" customHeight="1" x14ac:dyDescent="0.3">
      <c r="A93" s="51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3"/>
    </row>
    <row r="94" spans="1:19" ht="84.75" customHeight="1" x14ac:dyDescent="0.3">
      <c r="A94" s="32" t="s">
        <v>133</v>
      </c>
      <c r="B94" s="183" t="s">
        <v>134</v>
      </c>
      <c r="C94" s="183"/>
      <c r="D94" s="183"/>
      <c r="E94" s="183"/>
      <c r="F94" s="183"/>
      <c r="G94" s="183"/>
      <c r="H94" s="183" t="s">
        <v>34</v>
      </c>
      <c r="I94" s="183"/>
      <c r="J94" s="183" t="s">
        <v>35</v>
      </c>
      <c r="K94" s="183"/>
      <c r="L94" s="183" t="s">
        <v>36</v>
      </c>
      <c r="M94" s="183"/>
      <c r="N94" s="184" t="s">
        <v>37</v>
      </c>
      <c r="O94" s="185"/>
      <c r="P94" s="184" t="s">
        <v>210</v>
      </c>
      <c r="Q94" s="185"/>
      <c r="R94" s="184" t="s">
        <v>38</v>
      </c>
      <c r="S94" s="185"/>
    </row>
    <row r="95" spans="1:19" x14ac:dyDescent="0.3">
      <c r="A95" s="184" t="s">
        <v>135</v>
      </c>
      <c r="B95" s="189"/>
      <c r="C95" s="189"/>
      <c r="D95" s="189"/>
      <c r="E95" s="189"/>
      <c r="F95" s="189"/>
      <c r="G95" s="185"/>
      <c r="H95" s="33" t="s">
        <v>45</v>
      </c>
      <c r="I95" s="33" t="s">
        <v>46</v>
      </c>
      <c r="J95" s="33" t="s">
        <v>45</v>
      </c>
      <c r="K95" s="33" t="s">
        <v>46</v>
      </c>
      <c r="L95" s="33" t="s">
        <v>45</v>
      </c>
      <c r="M95" s="33" t="s">
        <v>46</v>
      </c>
      <c r="N95" s="33" t="s">
        <v>45</v>
      </c>
      <c r="O95" s="33" t="s">
        <v>46</v>
      </c>
      <c r="P95" s="33" t="s">
        <v>45</v>
      </c>
      <c r="Q95" s="33" t="s">
        <v>46</v>
      </c>
      <c r="R95" s="33" t="s">
        <v>45</v>
      </c>
      <c r="S95" s="33" t="s">
        <v>46</v>
      </c>
    </row>
    <row r="96" spans="1:19" x14ac:dyDescent="0.3">
      <c r="A96" s="59" t="s">
        <v>51</v>
      </c>
      <c r="B96" s="174" t="s">
        <v>136</v>
      </c>
      <c r="C96" s="174"/>
      <c r="D96" s="174"/>
      <c r="E96" s="174"/>
      <c r="F96" s="174"/>
      <c r="G96" s="174"/>
      <c r="H96" s="77">
        <f>1/12</f>
        <v>8.3333333333333329E-2</v>
      </c>
      <c r="I96" s="83">
        <f t="shared" ref="I96:I101" si="57">$H$18*H96</f>
        <v>0</v>
      </c>
      <c r="J96" s="77">
        <f>1/12</f>
        <v>8.3333333333333329E-2</v>
      </c>
      <c r="K96" s="83">
        <f t="shared" ref="K96:K101" si="58">$J$18*J96</f>
        <v>0</v>
      </c>
      <c r="L96" s="77">
        <f>1/12</f>
        <v>8.3333333333333329E-2</v>
      </c>
      <c r="M96" s="83">
        <f t="shared" ref="M96:M101" si="59">$L$18*L96</f>
        <v>0</v>
      </c>
      <c r="N96" s="77">
        <f>1/12</f>
        <v>8.3333333333333329E-2</v>
      </c>
      <c r="O96" s="83">
        <f t="shared" ref="O96:O101" si="60">$N$18*N96</f>
        <v>0</v>
      </c>
      <c r="P96" s="77">
        <f>1/12</f>
        <v>8.3333333333333329E-2</v>
      </c>
      <c r="Q96" s="83">
        <f t="shared" ref="Q96:Q101" si="61">$P$18*J96</f>
        <v>0</v>
      </c>
      <c r="R96" s="77">
        <f>1/12</f>
        <v>8.3333333333333329E-2</v>
      </c>
      <c r="S96" s="83">
        <f>R96*R18</f>
        <v>0</v>
      </c>
    </row>
    <row r="97" spans="1:19" x14ac:dyDescent="0.3">
      <c r="A97" s="62" t="s">
        <v>53</v>
      </c>
      <c r="B97" s="157" t="s">
        <v>137</v>
      </c>
      <c r="C97" s="157"/>
      <c r="D97" s="157"/>
      <c r="E97" s="157"/>
      <c r="F97" s="157"/>
      <c r="G97" s="157"/>
      <c r="H97" s="78">
        <f>5/30/12</f>
        <v>1.3888888888888888E-2</v>
      </c>
      <c r="I97" s="84">
        <f t="shared" si="57"/>
        <v>0</v>
      </c>
      <c r="J97" s="78">
        <f>5/30/12</f>
        <v>1.3888888888888888E-2</v>
      </c>
      <c r="K97" s="84">
        <f t="shared" si="58"/>
        <v>0</v>
      </c>
      <c r="L97" s="78">
        <f>5/30/12</f>
        <v>1.3888888888888888E-2</v>
      </c>
      <c r="M97" s="84">
        <f t="shared" si="59"/>
        <v>0</v>
      </c>
      <c r="N97" s="78">
        <f>5/30/12</f>
        <v>1.3888888888888888E-2</v>
      </c>
      <c r="O97" s="84">
        <f t="shared" si="60"/>
        <v>0</v>
      </c>
      <c r="P97" s="78">
        <f>5/30/12</f>
        <v>1.3888888888888888E-2</v>
      </c>
      <c r="Q97" s="84">
        <f t="shared" si="61"/>
        <v>0</v>
      </c>
      <c r="R97" s="78">
        <f>5/30/12</f>
        <v>1.3888888888888888E-2</v>
      </c>
      <c r="S97" s="84">
        <f>R97*R18</f>
        <v>0</v>
      </c>
    </row>
    <row r="98" spans="1:19" x14ac:dyDescent="0.3">
      <c r="A98" s="62" t="s">
        <v>67</v>
      </c>
      <c r="B98" s="157" t="s">
        <v>138</v>
      </c>
      <c r="C98" s="157"/>
      <c r="D98" s="157"/>
      <c r="E98" s="157"/>
      <c r="F98" s="157"/>
      <c r="G98" s="157"/>
      <c r="H98" s="78">
        <f>5/30/12*1.5/100</f>
        <v>2.0833333333333332E-4</v>
      </c>
      <c r="I98" s="84">
        <f t="shared" si="57"/>
        <v>0</v>
      </c>
      <c r="J98" s="78">
        <f>5/30/12*1.5/100</f>
        <v>2.0833333333333332E-4</v>
      </c>
      <c r="K98" s="84">
        <f t="shared" si="58"/>
        <v>0</v>
      </c>
      <c r="L98" s="78">
        <f>5/30/12*1.5/100</f>
        <v>2.0833333333333332E-4</v>
      </c>
      <c r="M98" s="84">
        <f t="shared" si="59"/>
        <v>0</v>
      </c>
      <c r="N98" s="78">
        <f>5/30/12*1.5/100</f>
        <v>2.0833333333333332E-4</v>
      </c>
      <c r="O98" s="84">
        <f t="shared" si="60"/>
        <v>0</v>
      </c>
      <c r="P98" s="78">
        <f>5/30/12*1.5/100</f>
        <v>2.0833333333333332E-4</v>
      </c>
      <c r="Q98" s="84">
        <f t="shared" si="61"/>
        <v>0</v>
      </c>
      <c r="R98" s="78">
        <f>5/30/12*1.5/100</f>
        <v>2.0833333333333332E-4</v>
      </c>
      <c r="S98" s="84">
        <f>R98*R18</f>
        <v>0</v>
      </c>
    </row>
    <row r="99" spans="1:19" x14ac:dyDescent="0.3">
      <c r="A99" s="62" t="s">
        <v>60</v>
      </c>
      <c r="B99" s="157" t="s">
        <v>139</v>
      </c>
      <c r="C99" s="157"/>
      <c r="D99" s="157"/>
      <c r="E99" s="157"/>
      <c r="F99" s="157"/>
      <c r="G99" s="157"/>
      <c r="H99" s="78">
        <f>1/30/12</f>
        <v>2.7777777777777779E-3</v>
      </c>
      <c r="I99" s="84">
        <f t="shared" si="57"/>
        <v>0</v>
      </c>
      <c r="J99" s="78">
        <f>1/30/12</f>
        <v>2.7777777777777779E-3</v>
      </c>
      <c r="K99" s="84">
        <f t="shared" si="58"/>
        <v>0</v>
      </c>
      <c r="L99" s="78">
        <f>1/30/12</f>
        <v>2.7777777777777779E-3</v>
      </c>
      <c r="M99" s="84">
        <f t="shared" si="59"/>
        <v>0</v>
      </c>
      <c r="N99" s="78">
        <f>1/30/12</f>
        <v>2.7777777777777779E-3</v>
      </c>
      <c r="O99" s="84">
        <f t="shared" si="60"/>
        <v>0</v>
      </c>
      <c r="P99" s="78">
        <f>1/30/12</f>
        <v>2.7777777777777779E-3</v>
      </c>
      <c r="Q99" s="84">
        <f t="shared" si="61"/>
        <v>0</v>
      </c>
      <c r="R99" s="78">
        <f>1/30/12</f>
        <v>2.7777777777777779E-3</v>
      </c>
      <c r="S99" s="84">
        <f>R99*R18</f>
        <v>0</v>
      </c>
    </row>
    <row r="100" spans="1:19" x14ac:dyDescent="0.3">
      <c r="A100" s="62" t="s">
        <v>70</v>
      </c>
      <c r="B100" s="157" t="s">
        <v>140</v>
      </c>
      <c r="C100" s="157"/>
      <c r="D100" s="157"/>
      <c r="E100" s="157"/>
      <c r="F100" s="157"/>
      <c r="G100" s="157"/>
      <c r="H100" s="78">
        <f>15/30/12*8/100</f>
        <v>3.3333333333333331E-3</v>
      </c>
      <c r="I100" s="84">
        <f t="shared" si="57"/>
        <v>0</v>
      </c>
      <c r="J100" s="78">
        <f>15/30/12*8/100</f>
        <v>3.3333333333333331E-3</v>
      </c>
      <c r="K100" s="84">
        <f t="shared" si="58"/>
        <v>0</v>
      </c>
      <c r="L100" s="78">
        <f>15/30/12*8/100</f>
        <v>3.3333333333333331E-3</v>
      </c>
      <c r="M100" s="84">
        <f t="shared" si="59"/>
        <v>0</v>
      </c>
      <c r="N100" s="78">
        <f>15/30/12*8/100</f>
        <v>3.3333333333333331E-3</v>
      </c>
      <c r="O100" s="84">
        <f t="shared" si="60"/>
        <v>0</v>
      </c>
      <c r="P100" s="78">
        <f>15/30/12*8/100</f>
        <v>3.3333333333333331E-3</v>
      </c>
      <c r="Q100" s="84">
        <f t="shared" si="61"/>
        <v>0</v>
      </c>
      <c r="R100" s="78">
        <f>15/30/12*8/100</f>
        <v>3.3333333333333331E-3</v>
      </c>
      <c r="S100" s="84">
        <f>R100*R18</f>
        <v>0</v>
      </c>
    </row>
    <row r="101" spans="1:19" x14ac:dyDescent="0.3">
      <c r="A101" s="62" t="s">
        <v>72</v>
      </c>
      <c r="B101" s="157" t="s">
        <v>141</v>
      </c>
      <c r="C101" s="157"/>
      <c r="D101" s="157"/>
      <c r="E101" s="157"/>
      <c r="F101" s="157"/>
      <c r="G101" s="157"/>
      <c r="H101" s="78">
        <v>2.3E-3</v>
      </c>
      <c r="I101" s="84">
        <f t="shared" si="57"/>
        <v>0</v>
      </c>
      <c r="J101" s="78">
        <v>2.3E-3</v>
      </c>
      <c r="K101" s="84">
        <f t="shared" si="58"/>
        <v>0</v>
      </c>
      <c r="L101" s="78">
        <v>2.3E-3</v>
      </c>
      <c r="M101" s="84">
        <f t="shared" si="59"/>
        <v>0</v>
      </c>
      <c r="N101" s="78">
        <v>2.3E-3</v>
      </c>
      <c r="O101" s="84">
        <f t="shared" si="60"/>
        <v>0</v>
      </c>
      <c r="P101" s="78">
        <v>2.3E-3</v>
      </c>
      <c r="Q101" s="84">
        <f t="shared" si="61"/>
        <v>0</v>
      </c>
      <c r="R101" s="78">
        <v>2.3E-3</v>
      </c>
      <c r="S101" s="84">
        <f>R101*R18</f>
        <v>0</v>
      </c>
    </row>
    <row r="102" spans="1:19" x14ac:dyDescent="0.3">
      <c r="A102" s="50" t="s">
        <v>74</v>
      </c>
      <c r="B102" s="159" t="s">
        <v>82</v>
      </c>
      <c r="C102" s="159"/>
      <c r="D102" s="159"/>
      <c r="E102" s="159"/>
      <c r="F102" s="159"/>
      <c r="G102" s="159"/>
      <c r="H102" s="79"/>
      <c r="I102" s="85"/>
      <c r="J102" s="79"/>
      <c r="K102" s="85"/>
      <c r="L102" s="79"/>
      <c r="M102" s="85"/>
      <c r="N102" s="79"/>
      <c r="O102" s="85"/>
      <c r="P102" s="86"/>
      <c r="Q102" s="85"/>
      <c r="R102" s="86"/>
      <c r="S102" s="85"/>
    </row>
    <row r="103" spans="1:19" x14ac:dyDescent="0.3">
      <c r="A103" s="190" t="s">
        <v>109</v>
      </c>
      <c r="B103" s="191"/>
      <c r="C103" s="191"/>
      <c r="D103" s="191"/>
      <c r="E103" s="191"/>
      <c r="F103" s="191"/>
      <c r="G103" s="192"/>
      <c r="H103" s="68">
        <f t="shared" ref="H103:R103" si="62">SUM(H96:H102)</f>
        <v>0.10584166666666665</v>
      </c>
      <c r="I103" s="74">
        <f t="shared" si="62"/>
        <v>0</v>
      </c>
      <c r="J103" s="68">
        <f t="shared" si="62"/>
        <v>0.10584166666666665</v>
      </c>
      <c r="K103" s="74">
        <f t="shared" si="62"/>
        <v>0</v>
      </c>
      <c r="L103" s="68">
        <f t="shared" ref="L103:M103" si="63">SUM(L96:L102)</f>
        <v>0.10584166666666665</v>
      </c>
      <c r="M103" s="74">
        <f t="shared" si="63"/>
        <v>0</v>
      </c>
      <c r="N103" s="68">
        <f t="shared" ref="N103:O103" si="64">SUM(N96:N102)</f>
        <v>0.10584166666666665</v>
      </c>
      <c r="O103" s="74">
        <f t="shared" si="64"/>
        <v>0</v>
      </c>
      <c r="P103" s="68">
        <f t="shared" si="62"/>
        <v>0.10584166666666665</v>
      </c>
      <c r="Q103" s="74">
        <f t="shared" ref="Q103:S103" si="65">SUM(Q96:Q102)</f>
        <v>0</v>
      </c>
      <c r="R103" s="68">
        <f t="shared" si="62"/>
        <v>0.10584166666666665</v>
      </c>
      <c r="S103" s="74">
        <f t="shared" si="65"/>
        <v>0</v>
      </c>
    </row>
    <row r="104" spans="1:19" x14ac:dyDescent="0.3">
      <c r="A104" s="37" t="s">
        <v>76</v>
      </c>
      <c r="B104" s="193" t="s">
        <v>142</v>
      </c>
      <c r="C104" s="194"/>
      <c r="D104" s="194"/>
      <c r="E104" s="194"/>
      <c r="F104" s="194"/>
      <c r="G104" s="195"/>
      <c r="H104" s="28">
        <f>H53*H103</f>
        <v>3.7362108333333338E-2</v>
      </c>
      <c r="I104" s="56">
        <f>I103*H53</f>
        <v>0</v>
      </c>
      <c r="J104" s="28">
        <f>J53*J103</f>
        <v>3.7362108333333338E-2</v>
      </c>
      <c r="K104" s="56">
        <f>K103*J53</f>
        <v>0</v>
      </c>
      <c r="L104" s="28">
        <f>L53*L103</f>
        <v>3.7362108333333338E-2</v>
      </c>
      <c r="M104" s="56">
        <f>M103*L53</f>
        <v>0</v>
      </c>
      <c r="N104" s="28">
        <f>N53*N103</f>
        <v>3.7362108333333338E-2</v>
      </c>
      <c r="O104" s="56">
        <f>O103*N53</f>
        <v>0</v>
      </c>
      <c r="P104" s="28">
        <f>P53*P103</f>
        <v>3.7362108333333338E-2</v>
      </c>
      <c r="Q104" s="56">
        <f>Q103*J53</f>
        <v>0</v>
      </c>
      <c r="R104" s="28">
        <f>R53*R103</f>
        <v>3.7362108333333338E-2</v>
      </c>
      <c r="S104" s="56">
        <f>R104*R18</f>
        <v>0</v>
      </c>
    </row>
    <row r="105" spans="1:19" x14ac:dyDescent="0.3">
      <c r="A105" s="190" t="s">
        <v>111</v>
      </c>
      <c r="B105" s="191"/>
      <c r="C105" s="191"/>
      <c r="D105" s="191"/>
      <c r="E105" s="191"/>
      <c r="F105" s="191"/>
      <c r="G105" s="192"/>
      <c r="H105" s="68">
        <f t="shared" ref="H105:P105" si="66">SUM(H103:H104)</f>
        <v>0.14320377499999998</v>
      </c>
      <c r="I105" s="74">
        <f t="shared" si="66"/>
        <v>0</v>
      </c>
      <c r="J105" s="68">
        <f t="shared" si="66"/>
        <v>0.14320377499999998</v>
      </c>
      <c r="K105" s="74">
        <f t="shared" si="66"/>
        <v>0</v>
      </c>
      <c r="L105" s="68">
        <f t="shared" ref="L105:M105" si="67">SUM(L103:L104)</f>
        <v>0.14320377499999998</v>
      </c>
      <c r="M105" s="74">
        <f t="shared" si="67"/>
        <v>0</v>
      </c>
      <c r="N105" s="68">
        <f t="shared" ref="N105:O105" si="68">SUM(N103:N104)</f>
        <v>0.14320377499999998</v>
      </c>
      <c r="O105" s="74">
        <f t="shared" si="68"/>
        <v>0</v>
      </c>
      <c r="P105" s="68">
        <f t="shared" si="66"/>
        <v>0.14320377499999998</v>
      </c>
      <c r="Q105" s="74">
        <f t="shared" ref="Q105:S105" si="69">SUM(Q103:Q104)</f>
        <v>0</v>
      </c>
      <c r="R105" s="68">
        <f t="shared" si="69"/>
        <v>0.14320377499999998</v>
      </c>
      <c r="S105" s="74">
        <f t="shared" si="69"/>
        <v>0</v>
      </c>
    </row>
    <row r="106" spans="1:19" x14ac:dyDescent="0.3">
      <c r="A106" s="36" t="s">
        <v>48</v>
      </c>
      <c r="B106" s="186" t="s">
        <v>112</v>
      </c>
      <c r="C106" s="187"/>
      <c r="D106" s="187"/>
      <c r="E106" s="187"/>
      <c r="F106" s="188"/>
      <c r="G106" s="46">
        <v>0.05</v>
      </c>
      <c r="H106" s="28">
        <f t="shared" ref="H106:P106" si="70">$G$106*H105</f>
        <v>7.1601887499999992E-3</v>
      </c>
      <c r="I106" s="55">
        <f t="shared" si="70"/>
        <v>0</v>
      </c>
      <c r="J106" s="28">
        <f t="shared" si="70"/>
        <v>7.1601887499999992E-3</v>
      </c>
      <c r="K106" s="55">
        <f t="shared" si="70"/>
        <v>0</v>
      </c>
      <c r="L106" s="28">
        <f t="shared" ref="L106:M106" si="71">$G$106*L105</f>
        <v>7.1601887499999992E-3</v>
      </c>
      <c r="M106" s="55">
        <f t="shared" si="71"/>
        <v>0</v>
      </c>
      <c r="N106" s="28">
        <f t="shared" ref="N106:O106" si="72">$G$106*N105</f>
        <v>7.1601887499999992E-3</v>
      </c>
      <c r="O106" s="55">
        <f t="shared" si="72"/>
        <v>0</v>
      </c>
      <c r="P106" s="28">
        <f t="shared" si="70"/>
        <v>7.1601887499999992E-3</v>
      </c>
      <c r="Q106" s="55">
        <f t="shared" ref="Q106:R106" si="73">$G$106*Q105</f>
        <v>0</v>
      </c>
      <c r="R106" s="28">
        <f t="shared" si="73"/>
        <v>7.1601887499999992E-3</v>
      </c>
      <c r="S106" s="55">
        <f>R106*R18</f>
        <v>0</v>
      </c>
    </row>
    <row r="107" spans="1:19" x14ac:dyDescent="0.3">
      <c r="A107" s="175" t="s">
        <v>62</v>
      </c>
      <c r="B107" s="176"/>
      <c r="C107" s="176"/>
      <c r="D107" s="176"/>
      <c r="E107" s="176"/>
      <c r="F107" s="176"/>
      <c r="G107" s="177"/>
      <c r="H107" s="75">
        <f t="shared" ref="H107:P107" si="74">SUM(H105:H106)</f>
        <v>0.15036396374999997</v>
      </c>
      <c r="I107" s="76">
        <f t="shared" si="74"/>
        <v>0</v>
      </c>
      <c r="J107" s="75">
        <f t="shared" si="74"/>
        <v>0.15036396374999997</v>
      </c>
      <c r="K107" s="76">
        <f t="shared" si="74"/>
        <v>0</v>
      </c>
      <c r="L107" s="75">
        <f t="shared" ref="L107:M107" si="75">SUM(L105:L106)</f>
        <v>0.15036396374999997</v>
      </c>
      <c r="M107" s="76">
        <f t="shared" si="75"/>
        <v>0</v>
      </c>
      <c r="N107" s="75">
        <f t="shared" ref="N107:O107" si="76">SUM(N105:N106)</f>
        <v>0.15036396374999997</v>
      </c>
      <c r="O107" s="76">
        <f t="shared" si="76"/>
        <v>0</v>
      </c>
      <c r="P107" s="75">
        <f t="shared" si="74"/>
        <v>0.15036396374999997</v>
      </c>
      <c r="Q107" s="76">
        <f t="shared" ref="Q107:S107" si="77">SUM(Q105:Q106)</f>
        <v>0</v>
      </c>
      <c r="R107" s="75">
        <f t="shared" si="77"/>
        <v>0.15036396374999997</v>
      </c>
      <c r="S107" s="76">
        <f t="shared" si="77"/>
        <v>0</v>
      </c>
    </row>
    <row r="108" spans="1:19" ht="7.5" customHeight="1" x14ac:dyDescent="0.3">
      <c r="A108" s="51"/>
      <c r="B108" s="52"/>
      <c r="C108" s="52"/>
      <c r="D108" s="52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3"/>
    </row>
    <row r="109" spans="1:19" ht="85.5" customHeight="1" x14ac:dyDescent="0.3">
      <c r="A109" s="32" t="str">
        <f>$A$40</f>
        <v>IV</v>
      </c>
      <c r="B109" s="183" t="str">
        <f>$B$40</f>
        <v>grupo IV</v>
      </c>
      <c r="C109" s="183"/>
      <c r="D109" s="183"/>
      <c r="E109" s="183"/>
      <c r="F109" s="183"/>
      <c r="G109" s="183"/>
      <c r="H109" s="183" t="s">
        <v>34</v>
      </c>
      <c r="I109" s="183"/>
      <c r="J109" s="183" t="s">
        <v>35</v>
      </c>
      <c r="K109" s="183"/>
      <c r="L109" s="183" t="s">
        <v>36</v>
      </c>
      <c r="M109" s="183"/>
      <c r="N109" s="184" t="s">
        <v>37</v>
      </c>
      <c r="O109" s="185"/>
      <c r="P109" s="184" t="s">
        <v>210</v>
      </c>
      <c r="Q109" s="185"/>
      <c r="R109" s="184" t="s">
        <v>38</v>
      </c>
      <c r="S109" s="185"/>
    </row>
    <row r="110" spans="1:19" x14ac:dyDescent="0.3">
      <c r="A110" s="184" t="s">
        <v>143</v>
      </c>
      <c r="B110" s="189"/>
      <c r="C110" s="189"/>
      <c r="D110" s="189"/>
      <c r="E110" s="189"/>
      <c r="F110" s="189"/>
      <c r="G110" s="185"/>
      <c r="H110" s="33" t="str">
        <f>$H$44</f>
        <v>%</v>
      </c>
      <c r="I110" s="33" t="str">
        <f>$I$44</f>
        <v>valor (R$)</v>
      </c>
      <c r="J110" s="33" t="str">
        <f>$H$44</f>
        <v>%</v>
      </c>
      <c r="K110" s="33" t="str">
        <f>$I$44</f>
        <v>valor (R$)</v>
      </c>
      <c r="L110" s="33" t="str">
        <f>$H$44</f>
        <v>%</v>
      </c>
      <c r="M110" s="33" t="str">
        <f>$I$44</f>
        <v>valor (R$)</v>
      </c>
      <c r="N110" s="33" t="str">
        <f>$H$44</f>
        <v>%</v>
      </c>
      <c r="O110" s="33" t="str">
        <f>$I$44</f>
        <v>valor (R$)</v>
      </c>
      <c r="P110" s="33" t="str">
        <f>$P$44</f>
        <v>%</v>
      </c>
      <c r="Q110" s="33" t="str">
        <f>$I$44</f>
        <v>valor (R$)</v>
      </c>
      <c r="R110" s="33" t="str">
        <f>$P$44</f>
        <v>%</v>
      </c>
      <c r="S110" s="33" t="str">
        <f>$I$44</f>
        <v>valor (R$)</v>
      </c>
    </row>
    <row r="111" spans="1:19" x14ac:dyDescent="0.3">
      <c r="A111" s="59" t="str">
        <f>$A$43</f>
        <v>IV.1</v>
      </c>
      <c r="B111" s="174" t="str">
        <f>$A$44</f>
        <v>obrigações previdenciárias e fgts</v>
      </c>
      <c r="C111" s="174"/>
      <c r="D111" s="174"/>
      <c r="E111" s="174"/>
      <c r="F111" s="174"/>
      <c r="G111" s="174"/>
      <c r="H111" s="77">
        <f>$H$53</f>
        <v>0.35300000000000009</v>
      </c>
      <c r="I111" s="61">
        <f>$I$53</f>
        <v>0</v>
      </c>
      <c r="J111" s="77">
        <f>$H$53</f>
        <v>0.35300000000000009</v>
      </c>
      <c r="K111" s="61">
        <f>K53</f>
        <v>0</v>
      </c>
      <c r="L111" s="77">
        <f>$H$53</f>
        <v>0.35300000000000009</v>
      </c>
      <c r="M111" s="61">
        <f>M53</f>
        <v>0</v>
      </c>
      <c r="N111" s="77">
        <f>$H$53</f>
        <v>0.35300000000000009</v>
      </c>
      <c r="O111" s="61">
        <f>O53</f>
        <v>0</v>
      </c>
      <c r="P111" s="77">
        <f>$P$53</f>
        <v>0.35300000000000009</v>
      </c>
      <c r="Q111" s="61">
        <f>Q53</f>
        <v>0</v>
      </c>
      <c r="R111" s="77">
        <f>R53</f>
        <v>0.35300000000000009</v>
      </c>
      <c r="S111" s="61">
        <f>S53</f>
        <v>0</v>
      </c>
    </row>
    <row r="112" spans="1:19" x14ac:dyDescent="0.3">
      <c r="A112" s="62" t="str">
        <f>$A$55</f>
        <v>IV.2</v>
      </c>
      <c r="B112" s="157" t="str">
        <f>$A$56</f>
        <v>13o. salário e abono de férias</v>
      </c>
      <c r="C112" s="157"/>
      <c r="D112" s="157"/>
      <c r="E112" s="157"/>
      <c r="F112" s="157"/>
      <c r="G112" s="157"/>
      <c r="H112" s="78">
        <f>$H$61</f>
        <v>0.15033333333333332</v>
      </c>
      <c r="I112" s="64">
        <f>$I$61</f>
        <v>0</v>
      </c>
      <c r="J112" s="78">
        <f>$H$61</f>
        <v>0.15033333333333332</v>
      </c>
      <c r="K112" s="64">
        <f>K61</f>
        <v>0</v>
      </c>
      <c r="L112" s="78">
        <f>$H$61</f>
        <v>0.15033333333333332</v>
      </c>
      <c r="M112" s="64">
        <f>M61</f>
        <v>0</v>
      </c>
      <c r="N112" s="78">
        <f>$H$61</f>
        <v>0.15033333333333332</v>
      </c>
      <c r="O112" s="64">
        <f>O61</f>
        <v>0</v>
      </c>
      <c r="P112" s="78">
        <f>$P$61</f>
        <v>0.15033333333333332</v>
      </c>
      <c r="Q112" s="61">
        <f>Q61</f>
        <v>0</v>
      </c>
      <c r="R112" s="78">
        <f>R61</f>
        <v>0.15033333333333332</v>
      </c>
      <c r="S112" s="64">
        <f>S61</f>
        <v>0</v>
      </c>
    </row>
    <row r="113" spans="1:19" x14ac:dyDescent="0.3">
      <c r="A113" s="62" t="str">
        <f>$A$63</f>
        <v>IV.3</v>
      </c>
      <c r="B113" s="157" t="str">
        <f>$A$64</f>
        <v>licença maternidade</v>
      </c>
      <c r="C113" s="157"/>
      <c r="D113" s="157"/>
      <c r="E113" s="157"/>
      <c r="F113" s="157"/>
      <c r="G113" s="157"/>
      <c r="H113" s="78">
        <f>$H$71</f>
        <v>1.5390375E-3</v>
      </c>
      <c r="I113" s="64">
        <f>$I$71</f>
        <v>0</v>
      </c>
      <c r="J113" s="78">
        <f>$H$71</f>
        <v>1.5390375E-3</v>
      </c>
      <c r="K113" s="64">
        <f>K71</f>
        <v>0</v>
      </c>
      <c r="L113" s="78">
        <f>$H$71</f>
        <v>1.5390375E-3</v>
      </c>
      <c r="M113" s="64">
        <f>M71</f>
        <v>0</v>
      </c>
      <c r="N113" s="78">
        <f>$H$71</f>
        <v>1.5390375E-3</v>
      </c>
      <c r="O113" s="64">
        <f>O71</f>
        <v>0</v>
      </c>
      <c r="P113" s="78">
        <f>$P$71</f>
        <v>1.5390375E-3</v>
      </c>
      <c r="Q113" s="61">
        <f>Q71</f>
        <v>0</v>
      </c>
      <c r="R113" s="78">
        <f>R71</f>
        <v>1.5390375E-3</v>
      </c>
      <c r="S113" s="64">
        <f>S71</f>
        <v>0</v>
      </c>
    </row>
    <row r="114" spans="1:19" x14ac:dyDescent="0.3">
      <c r="A114" s="62" t="str">
        <f>$A$73</f>
        <v>IV.4</v>
      </c>
      <c r="B114" s="157" t="str">
        <f>$A$74</f>
        <v>provisão para rescisão</v>
      </c>
      <c r="C114" s="157"/>
      <c r="D114" s="157"/>
      <c r="E114" s="157"/>
      <c r="F114" s="157"/>
      <c r="G114" s="157"/>
      <c r="H114" s="78">
        <f>$H$92</f>
        <v>9.4648750000000004E-2</v>
      </c>
      <c r="I114" s="64">
        <f>$I$92</f>
        <v>0</v>
      </c>
      <c r="J114" s="78">
        <f>$H$92</f>
        <v>9.4648750000000004E-2</v>
      </c>
      <c r="K114" s="64">
        <f>K92</f>
        <v>0</v>
      </c>
      <c r="L114" s="78">
        <f>$H$92</f>
        <v>9.4648750000000004E-2</v>
      </c>
      <c r="M114" s="64">
        <f>M92</f>
        <v>0</v>
      </c>
      <c r="N114" s="78">
        <f>$H$92</f>
        <v>9.4648750000000004E-2</v>
      </c>
      <c r="O114" s="64">
        <f>O92</f>
        <v>0</v>
      </c>
      <c r="P114" s="78">
        <f>$P$92</f>
        <v>9.4648750000000004E-2</v>
      </c>
      <c r="Q114" s="61">
        <f>Q92</f>
        <v>0</v>
      </c>
      <c r="R114" s="78">
        <f>R92</f>
        <v>9.4648750000000004E-2</v>
      </c>
      <c r="S114" s="64">
        <f>S92</f>
        <v>0</v>
      </c>
    </row>
    <row r="115" spans="1:19" x14ac:dyDescent="0.3">
      <c r="A115" s="62" t="str">
        <f>$A$94</f>
        <v>IV.5</v>
      </c>
      <c r="B115" s="157" t="str">
        <f>$A$95</f>
        <v>reposição profissional ausente</v>
      </c>
      <c r="C115" s="157"/>
      <c r="D115" s="157"/>
      <c r="E115" s="157"/>
      <c r="F115" s="157"/>
      <c r="G115" s="157"/>
      <c r="H115" s="78">
        <f>$H$107</f>
        <v>0.15036396374999997</v>
      </c>
      <c r="I115" s="64">
        <f>$I$107</f>
        <v>0</v>
      </c>
      <c r="J115" s="78">
        <f>$H$107</f>
        <v>0.15036396374999997</v>
      </c>
      <c r="K115" s="64">
        <f>K107</f>
        <v>0</v>
      </c>
      <c r="L115" s="78">
        <f>$H$107</f>
        <v>0.15036396374999997</v>
      </c>
      <c r="M115" s="64">
        <f>M107</f>
        <v>0</v>
      </c>
      <c r="N115" s="78">
        <f>$H$107</f>
        <v>0.15036396374999997</v>
      </c>
      <c r="O115" s="64">
        <f>O107</f>
        <v>0</v>
      </c>
      <c r="P115" s="78">
        <f>$P$107</f>
        <v>0.15036396374999997</v>
      </c>
      <c r="Q115" s="61">
        <f>Q107</f>
        <v>0</v>
      </c>
      <c r="R115" s="78">
        <f>R107</f>
        <v>0.15036396374999997</v>
      </c>
      <c r="S115" s="64">
        <f>S107</f>
        <v>0</v>
      </c>
    </row>
    <row r="116" spans="1:19" x14ac:dyDescent="0.3">
      <c r="A116" s="50" t="s">
        <v>144</v>
      </c>
      <c r="B116" s="159" t="s">
        <v>145</v>
      </c>
      <c r="C116" s="159"/>
      <c r="D116" s="159"/>
      <c r="E116" s="159"/>
      <c r="F116" s="159"/>
      <c r="G116" s="159"/>
      <c r="H116" s="79">
        <v>0.03</v>
      </c>
      <c r="I116" s="64">
        <f>H116*H13</f>
        <v>0</v>
      </c>
      <c r="J116" s="79">
        <v>0.03</v>
      </c>
      <c r="K116" s="64">
        <f>J116*J13</f>
        <v>0</v>
      </c>
      <c r="L116" s="79">
        <v>0.03</v>
      </c>
      <c r="M116" s="64">
        <f>L116*L13</f>
        <v>0</v>
      </c>
      <c r="N116" s="79">
        <v>0.03</v>
      </c>
      <c r="O116" s="64">
        <f>N116*N13</f>
        <v>0</v>
      </c>
      <c r="P116" s="79">
        <v>0.03</v>
      </c>
      <c r="Q116" s="61">
        <f>P116*P16</f>
        <v>0</v>
      </c>
      <c r="R116" s="79">
        <v>0.03</v>
      </c>
      <c r="S116" s="64">
        <f>R116*R18</f>
        <v>0</v>
      </c>
    </row>
    <row r="117" spans="1:19" x14ac:dyDescent="0.3">
      <c r="A117" s="175" t="s">
        <v>62</v>
      </c>
      <c r="B117" s="176"/>
      <c r="C117" s="176"/>
      <c r="D117" s="176"/>
      <c r="E117" s="176"/>
      <c r="F117" s="176"/>
      <c r="G117" s="177"/>
      <c r="H117" s="57">
        <f t="shared" ref="H117:P117" si="78">SUM(H109:H116)</f>
        <v>0.77988508458333328</v>
      </c>
      <c r="I117" s="58">
        <f t="shared" si="78"/>
        <v>0</v>
      </c>
      <c r="J117" s="57">
        <f t="shared" si="78"/>
        <v>0.77988508458333328</v>
      </c>
      <c r="K117" s="58">
        <f t="shared" si="78"/>
        <v>0</v>
      </c>
      <c r="L117" s="57">
        <f t="shared" ref="L117:M117" si="79">SUM(L109:L116)</f>
        <v>0.77988508458333328</v>
      </c>
      <c r="M117" s="58">
        <f t="shared" si="79"/>
        <v>0</v>
      </c>
      <c r="N117" s="57">
        <f t="shared" ref="N117:O117" si="80">SUM(N109:N116)</f>
        <v>0.77988508458333328</v>
      </c>
      <c r="O117" s="58">
        <f t="shared" si="80"/>
        <v>0</v>
      </c>
      <c r="P117" s="57">
        <f t="shared" si="78"/>
        <v>0.77988508458333328</v>
      </c>
      <c r="Q117" s="58">
        <f>SUM(Q109:Q116)</f>
        <v>0</v>
      </c>
      <c r="R117" s="57">
        <f t="shared" ref="R117" si="81">SUM(R109:R116)</f>
        <v>0.77988508458333328</v>
      </c>
      <c r="S117" s="58">
        <f>SUM(S109:S116)</f>
        <v>0</v>
      </c>
    </row>
    <row r="118" spans="1:19" ht="7.5" customHeight="1" x14ac:dyDescent="0.3">
      <c r="A118" s="43"/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44"/>
    </row>
    <row r="119" spans="1:19" x14ac:dyDescent="0.3">
      <c r="A119" s="178" t="s">
        <v>146</v>
      </c>
      <c r="B119" s="178"/>
      <c r="C119" s="178"/>
      <c r="D119" s="178"/>
      <c r="E119" s="178"/>
      <c r="F119" s="178"/>
      <c r="G119" s="178"/>
      <c r="H119" s="178"/>
      <c r="I119" s="178"/>
      <c r="J119" s="178"/>
      <c r="K119" s="178"/>
      <c r="L119" s="178"/>
      <c r="M119" s="178"/>
      <c r="N119" s="178"/>
      <c r="O119" s="178"/>
      <c r="P119" s="178"/>
      <c r="Q119" s="178"/>
      <c r="R119" s="178"/>
      <c r="S119" s="178"/>
    </row>
    <row r="120" spans="1:19" ht="81" customHeight="1" x14ac:dyDescent="0.3">
      <c r="A120" s="89" t="s">
        <v>147</v>
      </c>
      <c r="B120" s="168" t="s">
        <v>33</v>
      </c>
      <c r="C120" s="169"/>
      <c r="D120" s="169"/>
      <c r="E120" s="169"/>
      <c r="F120" s="169"/>
      <c r="G120" s="170"/>
      <c r="H120" s="171" t="s">
        <v>34</v>
      </c>
      <c r="I120" s="171"/>
      <c r="J120" s="171" t="s">
        <v>35</v>
      </c>
      <c r="K120" s="171"/>
      <c r="L120" s="171" t="s">
        <v>36</v>
      </c>
      <c r="M120" s="171"/>
      <c r="N120" s="179" t="s">
        <v>37</v>
      </c>
      <c r="O120" s="180"/>
      <c r="P120" s="179" t="s">
        <v>210</v>
      </c>
      <c r="Q120" s="180"/>
      <c r="R120" s="179" t="s">
        <v>38</v>
      </c>
      <c r="S120" s="180"/>
    </row>
    <row r="121" spans="1:19" x14ac:dyDescent="0.3">
      <c r="A121" s="80" t="str">
        <f>$A$11</f>
        <v>I</v>
      </c>
      <c r="B121" s="172" t="str">
        <f>$A$12</f>
        <v>composição da remuneração</v>
      </c>
      <c r="C121" s="172"/>
      <c r="D121" s="172"/>
      <c r="E121" s="172"/>
      <c r="F121" s="172"/>
      <c r="G121" s="172"/>
      <c r="H121" s="173">
        <f>$H$18</f>
        <v>0</v>
      </c>
      <c r="I121" s="173"/>
      <c r="J121" s="173">
        <f>$J$18</f>
        <v>0</v>
      </c>
      <c r="K121" s="173"/>
      <c r="L121" s="173">
        <f>$L$18</f>
        <v>0</v>
      </c>
      <c r="M121" s="173"/>
      <c r="N121" s="173">
        <f>$N$18</f>
        <v>0</v>
      </c>
      <c r="O121" s="173"/>
      <c r="P121" s="181">
        <f>$P$18</f>
        <v>0</v>
      </c>
      <c r="Q121" s="182"/>
      <c r="R121" s="181">
        <f>R18</f>
        <v>0</v>
      </c>
      <c r="S121" s="182"/>
    </row>
    <row r="122" spans="1:19" x14ac:dyDescent="0.3">
      <c r="A122" s="81" t="str">
        <f>$A$20</f>
        <v>II</v>
      </c>
      <c r="B122" s="157" t="str">
        <f>$A$21</f>
        <v>benefícios mensais e diários</v>
      </c>
      <c r="C122" s="157"/>
      <c r="D122" s="157"/>
      <c r="E122" s="157"/>
      <c r="F122" s="157"/>
      <c r="G122" s="157"/>
      <c r="H122" s="158">
        <f>$H$32</f>
        <v>0</v>
      </c>
      <c r="I122" s="158"/>
      <c r="J122" s="158">
        <f>J32</f>
        <v>0</v>
      </c>
      <c r="K122" s="158"/>
      <c r="L122" s="158">
        <f>$L$32</f>
        <v>0</v>
      </c>
      <c r="M122" s="158"/>
      <c r="N122" s="158">
        <f>$N$32</f>
        <v>0</v>
      </c>
      <c r="O122" s="158"/>
      <c r="P122" s="161">
        <f>$P$32</f>
        <v>0</v>
      </c>
      <c r="Q122" s="162"/>
      <c r="R122" s="161">
        <f>R32</f>
        <v>0</v>
      </c>
      <c r="S122" s="162"/>
    </row>
    <row r="123" spans="1:19" x14ac:dyDescent="0.3">
      <c r="A123" s="81" t="str">
        <f>$A$34</f>
        <v>III</v>
      </c>
      <c r="B123" s="157" t="str">
        <f>$A$35</f>
        <v>insumos diversos</v>
      </c>
      <c r="C123" s="157"/>
      <c r="D123" s="157"/>
      <c r="E123" s="157"/>
      <c r="F123" s="157"/>
      <c r="G123" s="157"/>
      <c r="H123" s="158">
        <f>$H$38</f>
        <v>0</v>
      </c>
      <c r="I123" s="158"/>
      <c r="J123" s="158">
        <f>$J$38</f>
        <v>0</v>
      </c>
      <c r="K123" s="158"/>
      <c r="L123" s="158">
        <f>$L$38</f>
        <v>0</v>
      </c>
      <c r="M123" s="158"/>
      <c r="N123" s="158">
        <f>$N$38</f>
        <v>0</v>
      </c>
      <c r="O123" s="158"/>
      <c r="P123" s="161">
        <f>$P$38</f>
        <v>0</v>
      </c>
      <c r="Q123" s="162"/>
      <c r="R123" s="161">
        <f>R38</f>
        <v>0</v>
      </c>
      <c r="S123" s="162"/>
    </row>
    <row r="124" spans="1:19" x14ac:dyDescent="0.3">
      <c r="A124" s="81" t="str">
        <f>$A$40</f>
        <v>IV</v>
      </c>
      <c r="B124" s="157" t="str">
        <f>$A$41</f>
        <v>encargos trabalhistas, sociais e econômicos</v>
      </c>
      <c r="C124" s="157"/>
      <c r="D124" s="157"/>
      <c r="E124" s="157"/>
      <c r="F124" s="157"/>
      <c r="G124" s="157"/>
      <c r="H124" s="158">
        <f>$I$117</f>
        <v>0</v>
      </c>
      <c r="I124" s="158"/>
      <c r="J124" s="158">
        <f>K117</f>
        <v>0</v>
      </c>
      <c r="K124" s="158"/>
      <c r="L124" s="158">
        <f>M117</f>
        <v>0</v>
      </c>
      <c r="M124" s="158"/>
      <c r="N124" s="158">
        <f>O117</f>
        <v>0</v>
      </c>
      <c r="O124" s="158"/>
      <c r="P124" s="161">
        <f>Q117</f>
        <v>0</v>
      </c>
      <c r="Q124" s="162"/>
      <c r="R124" s="161">
        <f>S117</f>
        <v>0</v>
      </c>
      <c r="S124" s="162"/>
    </row>
    <row r="125" spans="1:19" x14ac:dyDescent="0.3">
      <c r="A125" s="82" t="s">
        <v>148</v>
      </c>
      <c r="B125" s="159" t="s">
        <v>82</v>
      </c>
      <c r="C125" s="159"/>
      <c r="D125" s="159"/>
      <c r="E125" s="159"/>
      <c r="F125" s="159"/>
      <c r="G125" s="159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3"/>
      <c r="S125" s="164"/>
    </row>
    <row r="126" spans="1:19" x14ac:dyDescent="0.3">
      <c r="A126" s="148" t="s">
        <v>62</v>
      </c>
      <c r="B126" s="149"/>
      <c r="C126" s="149"/>
      <c r="D126" s="149"/>
      <c r="E126" s="149"/>
      <c r="F126" s="149"/>
      <c r="G126" s="150"/>
      <c r="H126" s="154">
        <f>SUM(H121:H125)</f>
        <v>0</v>
      </c>
      <c r="I126" s="154"/>
      <c r="J126" s="154">
        <f>SUM(J121:J125)</f>
        <v>0</v>
      </c>
      <c r="K126" s="154"/>
      <c r="L126" s="151">
        <f>SUM(L121:L125)</f>
        <v>0</v>
      </c>
      <c r="M126" s="153"/>
      <c r="N126" s="151">
        <f>SUM(N121:N125)</f>
        <v>0</v>
      </c>
      <c r="O126" s="153"/>
      <c r="P126" s="151">
        <f>SUM(P121:P125)</f>
        <v>0</v>
      </c>
      <c r="Q126" s="153"/>
      <c r="R126" s="151">
        <f>SUM(R121:R125)</f>
        <v>0</v>
      </c>
      <c r="S126" s="153"/>
    </row>
    <row r="127" spans="1:19" ht="40.5" customHeight="1" x14ac:dyDescent="0.3">
      <c r="A127" s="167" t="s">
        <v>149</v>
      </c>
      <c r="B127" s="167"/>
      <c r="C127" s="167"/>
      <c r="D127" s="167"/>
      <c r="E127" s="167"/>
      <c r="F127" s="167"/>
      <c r="G127" s="167"/>
      <c r="H127" s="167"/>
      <c r="I127" s="167"/>
      <c r="J127" s="167"/>
      <c r="K127" s="167"/>
      <c r="L127" s="167"/>
      <c r="M127" s="167"/>
      <c r="N127" s="167"/>
      <c r="O127" s="167"/>
      <c r="P127" s="167"/>
      <c r="Q127" s="167"/>
      <c r="R127" s="167"/>
      <c r="S127" s="167"/>
    </row>
    <row r="128" spans="1:19" x14ac:dyDescent="0.3">
      <c r="A128" s="82"/>
      <c r="B128" s="165" t="s">
        <v>150</v>
      </c>
      <c r="C128" s="165"/>
      <c r="D128" s="165"/>
      <c r="E128" s="165"/>
      <c r="F128" s="165"/>
      <c r="G128" s="165"/>
      <c r="H128" s="166">
        <f>(H126*2)*12</f>
        <v>0</v>
      </c>
      <c r="I128" s="166"/>
      <c r="J128" s="155">
        <f>(J126*3)*12</f>
        <v>0</v>
      </c>
      <c r="K128" s="156"/>
      <c r="L128" s="155">
        <f>(L126*9)*12</f>
        <v>0</v>
      </c>
      <c r="M128" s="156"/>
      <c r="N128" s="155">
        <f>(N126)*12</f>
        <v>0</v>
      </c>
      <c r="O128" s="156"/>
      <c r="P128" s="155">
        <f>(P126)*12</f>
        <v>0</v>
      </c>
      <c r="Q128" s="156"/>
      <c r="R128" s="155">
        <f>(R126)*12</f>
        <v>0</v>
      </c>
      <c r="S128" s="156"/>
    </row>
    <row r="129" spans="1:19" x14ac:dyDescent="0.3">
      <c r="A129" s="148" t="s">
        <v>62</v>
      </c>
      <c r="B129" s="149"/>
      <c r="C129" s="149"/>
      <c r="D129" s="149"/>
      <c r="E129" s="149"/>
      <c r="F129" s="149"/>
      <c r="G129" s="150"/>
      <c r="H129" s="151">
        <f>H128+J128+P128+R128+L128+N128</f>
        <v>0</v>
      </c>
      <c r="I129" s="152"/>
      <c r="J129" s="152"/>
      <c r="K129" s="152"/>
      <c r="L129" s="152"/>
      <c r="M129" s="152"/>
      <c r="N129" s="152"/>
      <c r="O129" s="152"/>
      <c r="P129" s="152"/>
      <c r="Q129" s="152"/>
      <c r="R129" s="152"/>
      <c r="S129" s="153"/>
    </row>
    <row r="130" spans="1:19" x14ac:dyDescent="0.3">
      <c r="A130" s="103"/>
      <c r="B130" s="103"/>
      <c r="C130" s="103"/>
      <c r="D130" s="103"/>
      <c r="E130" s="103"/>
      <c r="F130" s="103"/>
      <c r="G130" s="103"/>
      <c r="H130" s="104"/>
      <c r="I130" s="104"/>
      <c r="J130" s="104"/>
      <c r="K130" s="104"/>
      <c r="L130" s="104"/>
      <c r="M130" s="104"/>
      <c r="N130" s="104"/>
      <c r="O130" s="104"/>
      <c r="P130" s="104"/>
      <c r="Q130" s="104"/>
      <c r="R130" s="104"/>
      <c r="S130" s="104"/>
    </row>
    <row r="131" spans="1:19" x14ac:dyDescent="0.3">
      <c r="A131" s="103"/>
      <c r="B131" s="103"/>
      <c r="C131" s="103"/>
      <c r="D131" s="103"/>
      <c r="E131" s="103"/>
      <c r="F131" s="103"/>
      <c r="G131" s="103"/>
      <c r="H131" s="104"/>
      <c r="I131" s="104"/>
      <c r="J131" s="104"/>
      <c r="K131" s="104"/>
      <c r="L131" s="104"/>
      <c r="M131" s="104"/>
      <c r="N131" s="104"/>
      <c r="O131" s="104"/>
      <c r="P131" s="104"/>
      <c r="Q131" s="104"/>
      <c r="R131" s="104"/>
      <c r="S131" s="104"/>
    </row>
    <row r="132" spans="1:19" x14ac:dyDescent="0.3">
      <c r="A132" s="103"/>
      <c r="B132" s="103"/>
      <c r="C132" s="103"/>
      <c r="D132" s="103"/>
      <c r="E132" s="103"/>
      <c r="F132" s="103"/>
      <c r="G132" s="103"/>
      <c r="H132" s="104"/>
      <c r="I132" s="104"/>
      <c r="J132" s="104"/>
      <c r="K132" s="104"/>
      <c r="L132" s="104"/>
      <c r="M132" s="104"/>
      <c r="N132" s="104"/>
      <c r="O132" s="104"/>
      <c r="P132" s="104"/>
      <c r="Q132" s="104"/>
      <c r="R132" s="104"/>
      <c r="S132" s="104"/>
    </row>
    <row r="134" spans="1:19" ht="15" customHeight="1" x14ac:dyDescent="0.3"/>
    <row r="135" spans="1:19" ht="15" customHeight="1" x14ac:dyDescent="0.3"/>
    <row r="138" spans="1:19" ht="15" customHeight="1" x14ac:dyDescent="0.3"/>
  </sheetData>
  <mergeCells count="370">
    <mergeCell ref="L126:M126"/>
    <mergeCell ref="N126:O126"/>
    <mergeCell ref="L125:M125"/>
    <mergeCell ref="N125:O125"/>
    <mergeCell ref="L55:M55"/>
    <mergeCell ref="N55:O55"/>
    <mergeCell ref="L63:M63"/>
    <mergeCell ref="N63:O63"/>
    <mergeCell ref="L73:M73"/>
    <mergeCell ref="N73:O73"/>
    <mergeCell ref="N109:O109"/>
    <mergeCell ref="R73:S73"/>
    <mergeCell ref="R94:S94"/>
    <mergeCell ref="R109:S109"/>
    <mergeCell ref="R120:S120"/>
    <mergeCell ref="R121:S121"/>
    <mergeCell ref="R122:S122"/>
    <mergeCell ref="R123:S123"/>
    <mergeCell ref="L124:M124"/>
    <mergeCell ref="N121:O121"/>
    <mergeCell ref="N122:O122"/>
    <mergeCell ref="N123:O123"/>
    <mergeCell ref="N124:O124"/>
    <mergeCell ref="P123:Q123"/>
    <mergeCell ref="P124:Q124"/>
    <mergeCell ref="L122:M122"/>
    <mergeCell ref="L123:M123"/>
    <mergeCell ref="J37:K37"/>
    <mergeCell ref="R16:S16"/>
    <mergeCell ref="R17:S17"/>
    <mergeCell ref="R18:S18"/>
    <mergeCell ref="R21:S21"/>
    <mergeCell ref="R22:S22"/>
    <mergeCell ref="R23:S23"/>
    <mergeCell ref="R24:S24"/>
    <mergeCell ref="R25:S25"/>
    <mergeCell ref="R26:S26"/>
    <mergeCell ref="R27:S27"/>
    <mergeCell ref="R28:S28"/>
    <mergeCell ref="R29:S29"/>
    <mergeCell ref="R30:S30"/>
    <mergeCell ref="R31:S31"/>
    <mergeCell ref="R32:S32"/>
    <mergeCell ref="R35:S35"/>
    <mergeCell ref="R36:S36"/>
    <mergeCell ref="B34:S34"/>
    <mergeCell ref="A35:G35"/>
    <mergeCell ref="H35:I35"/>
    <mergeCell ref="B36:G36"/>
    <mergeCell ref="H36:I36"/>
    <mergeCell ref="H29:I29"/>
    <mergeCell ref="B122:G122"/>
    <mergeCell ref="H122:I122"/>
    <mergeCell ref="B123:G123"/>
    <mergeCell ref="H123:I123"/>
    <mergeCell ref="J122:K122"/>
    <mergeCell ref="J123:K123"/>
    <mergeCell ref="R55:S55"/>
    <mergeCell ref="P122:Q122"/>
    <mergeCell ref="H38:I38"/>
    <mergeCell ref="B40:S40"/>
    <mergeCell ref="A41:S41"/>
    <mergeCell ref="B43:G43"/>
    <mergeCell ref="H43:I43"/>
    <mergeCell ref="B63:G63"/>
    <mergeCell ref="H63:I63"/>
    <mergeCell ref="A64:G64"/>
    <mergeCell ref="B65:G65"/>
    <mergeCell ref="A56:G56"/>
    <mergeCell ref="B57:G57"/>
    <mergeCell ref="B58:G58"/>
    <mergeCell ref="A59:G59"/>
    <mergeCell ref="B60:G60"/>
    <mergeCell ref="A77:G77"/>
    <mergeCell ref="R63:S63"/>
    <mergeCell ref="A32:G32"/>
    <mergeCell ref="H32:I32"/>
    <mergeCell ref="A30:G30"/>
    <mergeCell ref="H30:I30"/>
    <mergeCell ref="B31:F31"/>
    <mergeCell ref="H31:I31"/>
    <mergeCell ref="J30:K30"/>
    <mergeCell ref="B28:G28"/>
    <mergeCell ref="H28:I28"/>
    <mergeCell ref="B29:G29"/>
    <mergeCell ref="P16:Q16"/>
    <mergeCell ref="P17:Q17"/>
    <mergeCell ref="P18:Q18"/>
    <mergeCell ref="P21:Q21"/>
    <mergeCell ref="B26:G26"/>
    <mergeCell ref="H26:I26"/>
    <mergeCell ref="B27:G27"/>
    <mergeCell ref="H27:I27"/>
    <mergeCell ref="J26:K26"/>
    <mergeCell ref="J27:K27"/>
    <mergeCell ref="N17:O17"/>
    <mergeCell ref="N21:O21"/>
    <mergeCell ref="A18:G18"/>
    <mergeCell ref="H18:I18"/>
    <mergeCell ref="B20:S20"/>
    <mergeCell ref="A21:G21"/>
    <mergeCell ref="H21:I21"/>
    <mergeCell ref="P22:Q22"/>
    <mergeCell ref="B17:F17"/>
    <mergeCell ref="H17:I17"/>
    <mergeCell ref="J17:K17"/>
    <mergeCell ref="L17:M17"/>
    <mergeCell ref="B22:G22"/>
    <mergeCell ref="H22:I22"/>
    <mergeCell ref="N13:O13"/>
    <mergeCell ref="R7:S7"/>
    <mergeCell ref="R12:S12"/>
    <mergeCell ref="R13:S13"/>
    <mergeCell ref="J36:K36"/>
    <mergeCell ref="J7:K7"/>
    <mergeCell ref="P7:Q7"/>
    <mergeCell ref="P12:Q12"/>
    <mergeCell ref="P13:Q13"/>
    <mergeCell ref="L7:M7"/>
    <mergeCell ref="N7:O7"/>
    <mergeCell ref="N12:O12"/>
    <mergeCell ref="J35:K35"/>
    <mergeCell ref="P35:Q35"/>
    <mergeCell ref="P26:Q26"/>
    <mergeCell ref="P27:Q27"/>
    <mergeCell ref="P28:Q28"/>
    <mergeCell ref="P29:Q29"/>
    <mergeCell ref="J18:K18"/>
    <mergeCell ref="J21:K21"/>
    <mergeCell ref="P14:Q14"/>
    <mergeCell ref="P15:Q15"/>
    <mergeCell ref="N14:O14"/>
    <mergeCell ref="N15:O15"/>
    <mergeCell ref="L15:M15"/>
    <mergeCell ref="R14:S14"/>
    <mergeCell ref="R15:S15"/>
    <mergeCell ref="B15:G15"/>
    <mergeCell ref="H15:I15"/>
    <mergeCell ref="B14:G14"/>
    <mergeCell ref="H14:I14"/>
    <mergeCell ref="J14:K14"/>
    <mergeCell ref="J15:K15"/>
    <mergeCell ref="A1:S1"/>
    <mergeCell ref="B2:G2"/>
    <mergeCell ref="H2:I2"/>
    <mergeCell ref="A4:G4"/>
    <mergeCell ref="H4:I4"/>
    <mergeCell ref="J2:K2"/>
    <mergeCell ref="J4:K4"/>
    <mergeCell ref="J5:K5"/>
    <mergeCell ref="J6:K6"/>
    <mergeCell ref="P6:Q6"/>
    <mergeCell ref="P5:Q5"/>
    <mergeCell ref="P2:Q2"/>
    <mergeCell ref="P4:Q4"/>
    <mergeCell ref="R2:S2"/>
    <mergeCell ref="R4:S4"/>
    <mergeCell ref="R5:S5"/>
    <mergeCell ref="H5:I5"/>
    <mergeCell ref="B6:G6"/>
    <mergeCell ref="H6:I6"/>
    <mergeCell ref="R6:S6"/>
    <mergeCell ref="L2:M2"/>
    <mergeCell ref="N2:O2"/>
    <mergeCell ref="L5:M5"/>
    <mergeCell ref="L6:M6"/>
    <mergeCell ref="N5:O5"/>
    <mergeCell ref="N6:O6"/>
    <mergeCell ref="B5:G5"/>
    <mergeCell ref="N16:O16"/>
    <mergeCell ref="J16:K16"/>
    <mergeCell ref="A16:G16"/>
    <mergeCell ref="H16:I16"/>
    <mergeCell ref="L4:M4"/>
    <mergeCell ref="N4:O4"/>
    <mergeCell ref="B13:G13"/>
    <mergeCell ref="H13:I13"/>
    <mergeCell ref="J12:K12"/>
    <mergeCell ref="J13:K13"/>
    <mergeCell ref="L12:M12"/>
    <mergeCell ref="L13:M13"/>
    <mergeCell ref="L16:M16"/>
    <mergeCell ref="B7:G7"/>
    <mergeCell ref="H7:I7"/>
    <mergeCell ref="A8:G8"/>
    <mergeCell ref="B9:G9"/>
    <mergeCell ref="B11:S11"/>
    <mergeCell ref="A12:G12"/>
    <mergeCell ref="H12:I12"/>
    <mergeCell ref="L14:M14"/>
    <mergeCell ref="J22:K22"/>
    <mergeCell ref="B24:G24"/>
    <mergeCell ref="H24:I24"/>
    <mergeCell ref="B25:G25"/>
    <mergeCell ref="H25:I25"/>
    <mergeCell ref="L18:M18"/>
    <mergeCell ref="N18:O18"/>
    <mergeCell ref="L21:M21"/>
    <mergeCell ref="N22:O22"/>
    <mergeCell ref="N23:O23"/>
    <mergeCell ref="N24:O24"/>
    <mergeCell ref="N25:O25"/>
    <mergeCell ref="L22:M22"/>
    <mergeCell ref="L23:M23"/>
    <mergeCell ref="L24:M24"/>
    <mergeCell ref="L25:M25"/>
    <mergeCell ref="B23:G23"/>
    <mergeCell ref="H23:I23"/>
    <mergeCell ref="N32:O32"/>
    <mergeCell ref="J23:K23"/>
    <mergeCell ref="J24:K24"/>
    <mergeCell ref="J25:K25"/>
    <mergeCell ref="L27:M27"/>
    <mergeCell ref="L26:M26"/>
    <mergeCell ref="N26:O26"/>
    <mergeCell ref="N27:O27"/>
    <mergeCell ref="P23:Q23"/>
    <mergeCell ref="P24:Q24"/>
    <mergeCell ref="P25:Q25"/>
    <mergeCell ref="J28:K28"/>
    <mergeCell ref="J29:K29"/>
    <mergeCell ref="J38:K38"/>
    <mergeCell ref="J43:K43"/>
    <mergeCell ref="P36:Q36"/>
    <mergeCell ref="P37:Q37"/>
    <mergeCell ref="P38:Q38"/>
    <mergeCell ref="P43:Q43"/>
    <mergeCell ref="L28:M28"/>
    <mergeCell ref="L29:M29"/>
    <mergeCell ref="L30:M30"/>
    <mergeCell ref="N28:O28"/>
    <mergeCell ref="N29:O29"/>
    <mergeCell ref="N30:O30"/>
    <mergeCell ref="L35:M35"/>
    <mergeCell ref="L36:M36"/>
    <mergeCell ref="N35:O35"/>
    <mergeCell ref="N36:O36"/>
    <mergeCell ref="J31:K31"/>
    <mergeCell ref="J32:K32"/>
    <mergeCell ref="P30:Q30"/>
    <mergeCell ref="P31:Q31"/>
    <mergeCell ref="P32:Q32"/>
    <mergeCell ref="L31:M31"/>
    <mergeCell ref="L32:M32"/>
    <mergeCell ref="N31:O31"/>
    <mergeCell ref="R37:S37"/>
    <mergeCell ref="R38:S38"/>
    <mergeCell ref="R43:S43"/>
    <mergeCell ref="B50:G50"/>
    <mergeCell ref="B51:G51"/>
    <mergeCell ref="B52:G52"/>
    <mergeCell ref="A53:G53"/>
    <mergeCell ref="B55:G55"/>
    <mergeCell ref="H55:I55"/>
    <mergeCell ref="A44:G44"/>
    <mergeCell ref="B45:G45"/>
    <mergeCell ref="B46:G46"/>
    <mergeCell ref="B47:G47"/>
    <mergeCell ref="B48:G48"/>
    <mergeCell ref="B49:G49"/>
    <mergeCell ref="L37:M37"/>
    <mergeCell ref="L38:M38"/>
    <mergeCell ref="N37:O37"/>
    <mergeCell ref="N38:O38"/>
    <mergeCell ref="L43:M43"/>
    <mergeCell ref="N43:O43"/>
    <mergeCell ref="A38:G38"/>
    <mergeCell ref="B37:G37"/>
    <mergeCell ref="H37:I37"/>
    <mergeCell ref="B78:G78"/>
    <mergeCell ref="B79:G79"/>
    <mergeCell ref="B80:G80"/>
    <mergeCell ref="A81:G81"/>
    <mergeCell ref="B82:G82"/>
    <mergeCell ref="J55:K55"/>
    <mergeCell ref="J63:K63"/>
    <mergeCell ref="P55:Q55"/>
    <mergeCell ref="P63:Q63"/>
    <mergeCell ref="B73:G73"/>
    <mergeCell ref="H73:I73"/>
    <mergeCell ref="A74:G74"/>
    <mergeCell ref="B75:G75"/>
    <mergeCell ref="B76:G76"/>
    <mergeCell ref="B66:G66"/>
    <mergeCell ref="A67:G67"/>
    <mergeCell ref="B68:G68"/>
    <mergeCell ref="A69:G69"/>
    <mergeCell ref="B70:F70"/>
    <mergeCell ref="A71:G71"/>
    <mergeCell ref="J73:K73"/>
    <mergeCell ref="P73:Q73"/>
    <mergeCell ref="A61:G61"/>
    <mergeCell ref="A89:G89"/>
    <mergeCell ref="A90:G90"/>
    <mergeCell ref="B91:F91"/>
    <mergeCell ref="A92:G92"/>
    <mergeCell ref="B94:G94"/>
    <mergeCell ref="B83:G83"/>
    <mergeCell ref="B84:G84"/>
    <mergeCell ref="B85:G85"/>
    <mergeCell ref="A86:G86"/>
    <mergeCell ref="B87:G87"/>
    <mergeCell ref="B88:G88"/>
    <mergeCell ref="H94:I94"/>
    <mergeCell ref="J94:K94"/>
    <mergeCell ref="P94:Q94"/>
    <mergeCell ref="B106:F106"/>
    <mergeCell ref="A107:G107"/>
    <mergeCell ref="B109:G109"/>
    <mergeCell ref="H109:I109"/>
    <mergeCell ref="A110:G110"/>
    <mergeCell ref="B100:G100"/>
    <mergeCell ref="B101:G101"/>
    <mergeCell ref="B102:G102"/>
    <mergeCell ref="A103:G103"/>
    <mergeCell ref="B104:G104"/>
    <mergeCell ref="A105:G105"/>
    <mergeCell ref="J109:K109"/>
    <mergeCell ref="P109:Q109"/>
    <mergeCell ref="A95:G95"/>
    <mergeCell ref="B96:G96"/>
    <mergeCell ref="B97:G97"/>
    <mergeCell ref="B98:G98"/>
    <mergeCell ref="B99:G99"/>
    <mergeCell ref="L94:M94"/>
    <mergeCell ref="N94:O94"/>
    <mergeCell ref="L109:M109"/>
    <mergeCell ref="B120:G120"/>
    <mergeCell ref="H120:I120"/>
    <mergeCell ref="B121:G121"/>
    <mergeCell ref="H121:I121"/>
    <mergeCell ref="B111:G111"/>
    <mergeCell ref="B112:G112"/>
    <mergeCell ref="B113:G113"/>
    <mergeCell ref="B114:G114"/>
    <mergeCell ref="B115:G115"/>
    <mergeCell ref="B116:G116"/>
    <mergeCell ref="A117:G117"/>
    <mergeCell ref="A119:S119"/>
    <mergeCell ref="J120:K120"/>
    <mergeCell ref="J121:K121"/>
    <mergeCell ref="P120:Q120"/>
    <mergeCell ref="P121:Q121"/>
    <mergeCell ref="L120:M120"/>
    <mergeCell ref="N120:O120"/>
    <mergeCell ref="L121:M121"/>
    <mergeCell ref="A129:G129"/>
    <mergeCell ref="H129:S129"/>
    <mergeCell ref="A126:G126"/>
    <mergeCell ref="H126:I126"/>
    <mergeCell ref="J126:K126"/>
    <mergeCell ref="J128:K128"/>
    <mergeCell ref="P126:Q126"/>
    <mergeCell ref="P128:Q128"/>
    <mergeCell ref="B124:G124"/>
    <mergeCell ref="H124:I124"/>
    <mergeCell ref="B125:G125"/>
    <mergeCell ref="H125:I125"/>
    <mergeCell ref="J124:K124"/>
    <mergeCell ref="J125:K125"/>
    <mergeCell ref="P125:Q125"/>
    <mergeCell ref="L128:M128"/>
    <mergeCell ref="N128:O128"/>
    <mergeCell ref="R124:S124"/>
    <mergeCell ref="R125:S125"/>
    <mergeCell ref="R126:S126"/>
    <mergeCell ref="R128:S128"/>
    <mergeCell ref="B128:G128"/>
    <mergeCell ref="H128:I128"/>
    <mergeCell ref="A127:S127"/>
  </mergeCells>
  <pageMargins left="0.511811024" right="0.511811024" top="0.78740157499999996" bottom="0.78740157499999996" header="0.31496062000000002" footer="0.31496062000000002"/>
  <pageSetup paperSize="9" scale="48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7"/>
  <dimension ref="A1:D65"/>
  <sheetViews>
    <sheetView view="pageBreakPreview" topLeftCell="A21" zoomScaleNormal="100" zoomScaleSheetLayoutView="100" workbookViewId="0">
      <selection activeCell="D15" sqref="D15"/>
    </sheetView>
  </sheetViews>
  <sheetFormatPr defaultColWidth="9.140625" defaultRowHeight="16.5" x14ac:dyDescent="0.3"/>
  <cols>
    <col min="1" max="1" width="3.7109375" style="6" customWidth="1"/>
    <col min="2" max="2" width="59.140625" style="1" customWidth="1"/>
    <col min="3" max="3" width="20.140625" style="1" customWidth="1"/>
    <col min="4" max="4" width="71.7109375" style="8" customWidth="1"/>
    <col min="5" max="16384" width="9.140625" style="6"/>
  </cols>
  <sheetData>
    <row r="1" spans="1:4" ht="37.15" customHeight="1" x14ac:dyDescent="0.3"/>
    <row r="2" spans="1:4" ht="18.75" x14ac:dyDescent="0.3">
      <c r="A2" s="14">
        <v>1</v>
      </c>
      <c r="B2" s="14" t="s">
        <v>17</v>
      </c>
      <c r="D2" s="8" t="s">
        <v>40</v>
      </c>
    </row>
    <row r="3" spans="1:4" ht="30" x14ac:dyDescent="0.3">
      <c r="B3" s="1" t="s">
        <v>151</v>
      </c>
      <c r="C3" s="10"/>
      <c r="D3" s="91" t="s">
        <v>220</v>
      </c>
    </row>
    <row r="4" spans="1:4" x14ac:dyDescent="0.3">
      <c r="B4" s="1" t="s">
        <v>152</v>
      </c>
      <c r="C4" s="10"/>
      <c r="D4" s="91" t="s">
        <v>153</v>
      </c>
    </row>
    <row r="5" spans="1:4" x14ac:dyDescent="0.3">
      <c r="B5" s="1" t="s">
        <v>154</v>
      </c>
      <c r="C5" s="10">
        <v>0</v>
      </c>
      <c r="D5" s="91" t="s">
        <v>153</v>
      </c>
    </row>
    <row r="6" spans="1:4" x14ac:dyDescent="0.3">
      <c r="B6" s="1" t="s">
        <v>155</v>
      </c>
      <c r="C6" s="10"/>
      <c r="D6" s="91" t="s">
        <v>153</v>
      </c>
    </row>
    <row r="7" spans="1:4" x14ac:dyDescent="0.3">
      <c r="B7" s="1" t="s">
        <v>156</v>
      </c>
      <c r="C7" s="10">
        <f>C6+C3+C4+C5</f>
        <v>0</v>
      </c>
    </row>
    <row r="8" spans="1:4" x14ac:dyDescent="0.3">
      <c r="B8" s="1" t="s">
        <v>157</v>
      </c>
      <c r="C8" s="10">
        <f>C7</f>
        <v>0</v>
      </c>
    </row>
    <row r="9" spans="1:4" hidden="1" x14ac:dyDescent="0.3">
      <c r="B9" s="12" t="s">
        <v>158</v>
      </c>
      <c r="C9" s="15">
        <f>C8</f>
        <v>0</v>
      </c>
    </row>
    <row r="10" spans="1:4" x14ac:dyDescent="0.3">
      <c r="B10" s="12" t="s">
        <v>159</v>
      </c>
      <c r="C10" s="15">
        <f>C8*7</f>
        <v>0</v>
      </c>
      <c r="D10" s="8" t="s">
        <v>160</v>
      </c>
    </row>
    <row r="12" spans="1:4" ht="18.75" x14ac:dyDescent="0.3">
      <c r="A12" s="14">
        <v>2</v>
      </c>
      <c r="B12" s="14" t="s">
        <v>161</v>
      </c>
      <c r="D12" s="8" t="s">
        <v>40</v>
      </c>
    </row>
    <row r="13" spans="1:4" x14ac:dyDescent="0.3">
      <c r="B13" s="1" t="s">
        <v>162</v>
      </c>
      <c r="C13" s="11">
        <v>0</v>
      </c>
    </row>
    <row r="14" spans="1:4" x14ac:dyDescent="0.3">
      <c r="B14" s="1" t="s">
        <v>163</v>
      </c>
      <c r="C14" s="11">
        <v>0</v>
      </c>
    </row>
    <row r="15" spans="1:4" x14ac:dyDescent="0.3">
      <c r="B15" s="1" t="s">
        <v>164</v>
      </c>
      <c r="C15" s="11">
        <f>C13*C14</f>
        <v>0</v>
      </c>
      <c r="D15" s="6"/>
    </row>
    <row r="16" spans="1:4" x14ac:dyDescent="0.3">
      <c r="B16" s="1" t="s">
        <v>165</v>
      </c>
      <c r="C16" s="11">
        <f>C15</f>
        <v>0</v>
      </c>
      <c r="D16" s="6"/>
    </row>
    <row r="17" spans="1:4" x14ac:dyDescent="0.3">
      <c r="B17" s="1" t="s">
        <v>166</v>
      </c>
      <c r="C17" s="21"/>
      <c r="D17" s="6"/>
    </row>
    <row r="18" spans="1:4" x14ac:dyDescent="0.3">
      <c r="B18" s="1" t="s">
        <v>167</v>
      </c>
      <c r="C18" s="10">
        <f>C16*C17</f>
        <v>0</v>
      </c>
      <c r="D18" s="6"/>
    </row>
    <row r="19" spans="1:4" hidden="1" x14ac:dyDescent="0.3">
      <c r="B19" s="12"/>
      <c r="C19" s="15">
        <v>0</v>
      </c>
      <c r="D19" s="6"/>
    </row>
    <row r="20" spans="1:4" x14ac:dyDescent="0.3">
      <c r="B20" s="12" t="s">
        <v>159</v>
      </c>
      <c r="C20" s="15">
        <f>C18*5</f>
        <v>0</v>
      </c>
      <c r="D20" s="6"/>
    </row>
    <row r="22" spans="1:4" ht="18.75" hidden="1" x14ac:dyDescent="0.3">
      <c r="A22" s="14">
        <v>3</v>
      </c>
      <c r="B22" s="261" t="s">
        <v>168</v>
      </c>
      <c r="C22" s="261"/>
      <c r="D22" s="8" t="s">
        <v>169</v>
      </c>
    </row>
    <row r="23" spans="1:4" hidden="1" x14ac:dyDescent="0.3">
      <c r="B23" s="1" t="s">
        <v>170</v>
      </c>
      <c r="C23" s="9">
        <v>0</v>
      </c>
      <c r="D23" s="8" t="s">
        <v>153</v>
      </c>
    </row>
    <row r="24" spans="1:4" hidden="1" x14ac:dyDescent="0.3">
      <c r="B24" s="1" t="s">
        <v>8</v>
      </c>
      <c r="C24" s="9">
        <v>0</v>
      </c>
      <c r="D24" s="8" t="s">
        <v>153</v>
      </c>
    </row>
    <row r="25" spans="1:4" hidden="1" x14ac:dyDescent="0.3">
      <c r="B25" s="5" t="s">
        <v>171</v>
      </c>
      <c r="C25" s="9">
        <v>0</v>
      </c>
      <c r="D25" s="6"/>
    </row>
    <row r="26" spans="1:4" hidden="1" x14ac:dyDescent="0.3">
      <c r="B26" s="5"/>
      <c r="C26" s="9"/>
      <c r="D26" s="6"/>
    </row>
    <row r="27" spans="1:4" hidden="1" x14ac:dyDescent="0.3">
      <c r="B27" s="12"/>
      <c r="C27" s="16" t="s">
        <v>58</v>
      </c>
      <c r="D27" s="6"/>
    </row>
    <row r="28" spans="1:4" hidden="1" x14ac:dyDescent="0.3">
      <c r="B28" s="12" t="s">
        <v>172</v>
      </c>
      <c r="C28" s="16">
        <f>C24*60+C23</f>
        <v>0</v>
      </c>
      <c r="D28" s="6"/>
    </row>
    <row r="29" spans="1:4" hidden="1" x14ac:dyDescent="0.3"/>
    <row r="30" spans="1:4" ht="18.75" x14ac:dyDescent="0.3">
      <c r="A30" s="14">
        <v>3</v>
      </c>
      <c r="B30" s="14" t="s">
        <v>18</v>
      </c>
      <c r="D30" s="8" t="s">
        <v>40</v>
      </c>
    </row>
    <row r="31" spans="1:4" ht="30" x14ac:dyDescent="0.3">
      <c r="B31" s="1" t="s">
        <v>173</v>
      </c>
      <c r="C31" s="9"/>
      <c r="D31" s="91" t="s">
        <v>174</v>
      </c>
    </row>
    <row r="32" spans="1:4" x14ac:dyDescent="0.3">
      <c r="B32" s="1" t="s">
        <v>175</v>
      </c>
      <c r="C32" s="9">
        <f>C31*1.05</f>
        <v>0</v>
      </c>
    </row>
    <row r="33" spans="1:4" x14ac:dyDescent="0.3">
      <c r="B33" s="1" t="s">
        <v>176</v>
      </c>
      <c r="C33" s="102">
        <v>12</v>
      </c>
    </row>
    <row r="34" spans="1:4" hidden="1" x14ac:dyDescent="0.3">
      <c r="B34" s="5" t="s">
        <v>177</v>
      </c>
      <c r="C34" s="9">
        <f>C33*C32</f>
        <v>0</v>
      </c>
      <c r="D34" s="6"/>
    </row>
    <row r="35" spans="1:4" hidden="1" x14ac:dyDescent="0.3">
      <c r="B35" s="12"/>
      <c r="C35" s="16" t="s">
        <v>58</v>
      </c>
      <c r="D35" s="6"/>
    </row>
    <row r="36" spans="1:4" x14ac:dyDescent="0.3">
      <c r="B36" s="12" t="s">
        <v>172</v>
      </c>
      <c r="C36" s="16">
        <f>C34*1</f>
        <v>0</v>
      </c>
      <c r="D36" s="6"/>
    </row>
    <row r="37" spans="1:4" x14ac:dyDescent="0.3">
      <c r="C37" s="10"/>
      <c r="D37" s="6"/>
    </row>
    <row r="38" spans="1:4" ht="18.75" x14ac:dyDescent="0.3">
      <c r="A38" s="14">
        <v>4</v>
      </c>
      <c r="B38" s="14" t="s">
        <v>20</v>
      </c>
      <c r="D38" s="8" t="s">
        <v>40</v>
      </c>
    </row>
    <row r="39" spans="1:4" x14ac:dyDescent="0.3">
      <c r="B39" s="1" t="s">
        <v>178</v>
      </c>
      <c r="C39" s="9"/>
      <c r="D39" s="8" t="s">
        <v>179</v>
      </c>
    </row>
    <row r="40" spans="1:4" ht="33" x14ac:dyDescent="0.3">
      <c r="B40" s="121" t="s">
        <v>211</v>
      </c>
      <c r="C40" s="9"/>
      <c r="D40" s="8" t="s">
        <v>180</v>
      </c>
    </row>
    <row r="41" spans="1:4" x14ac:dyDescent="0.3">
      <c r="B41" s="1" t="s">
        <v>181</v>
      </c>
      <c r="C41" s="9">
        <f>C39+C40</f>
        <v>0</v>
      </c>
    </row>
    <row r="42" spans="1:4" x14ac:dyDescent="0.3">
      <c r="B42" s="1" t="s">
        <v>182</v>
      </c>
      <c r="C42" s="13">
        <v>8.5000000000000006E-2</v>
      </c>
      <c r="D42" s="91"/>
    </row>
    <row r="43" spans="1:4" x14ac:dyDescent="0.3">
      <c r="B43" s="1" t="s">
        <v>183</v>
      </c>
      <c r="C43" s="9">
        <f>C41*C42</f>
        <v>0</v>
      </c>
      <c r="D43" s="91" t="s">
        <v>184</v>
      </c>
    </row>
    <row r="44" spans="1:4" hidden="1" x14ac:dyDescent="0.3">
      <c r="B44" s="12"/>
      <c r="C44" s="16" t="s">
        <v>58</v>
      </c>
      <c r="D44" s="6"/>
    </row>
    <row r="45" spans="1:4" x14ac:dyDescent="0.3">
      <c r="B45" s="12" t="s">
        <v>185</v>
      </c>
      <c r="C45" s="16">
        <f>C43</f>
        <v>0</v>
      </c>
      <c r="D45" s="6"/>
    </row>
    <row r="46" spans="1:4" x14ac:dyDescent="0.3">
      <c r="C46" s="10"/>
      <c r="D46" s="6"/>
    </row>
    <row r="47" spans="1:4" ht="18.75" x14ac:dyDescent="0.3">
      <c r="A47" s="14">
        <v>5</v>
      </c>
      <c r="B47" s="14" t="s">
        <v>21</v>
      </c>
      <c r="D47" s="8" t="s">
        <v>40</v>
      </c>
    </row>
    <row r="48" spans="1:4" x14ac:dyDescent="0.3">
      <c r="B48" s="1" t="s">
        <v>186</v>
      </c>
      <c r="C48" s="9"/>
      <c r="D48" s="8" t="s">
        <v>179</v>
      </c>
    </row>
    <row r="49" spans="1:4" x14ac:dyDescent="0.3">
      <c r="B49" s="1" t="s">
        <v>187</v>
      </c>
      <c r="C49" s="13">
        <v>0.1</v>
      </c>
      <c r="D49" s="8" t="s">
        <v>188</v>
      </c>
    </row>
    <row r="50" spans="1:4" x14ac:dyDescent="0.3">
      <c r="B50" s="1" t="s">
        <v>189</v>
      </c>
      <c r="C50" s="9">
        <f>C48*C49</f>
        <v>0</v>
      </c>
    </row>
    <row r="51" spans="1:4" x14ac:dyDescent="0.3">
      <c r="B51" s="12"/>
      <c r="C51" s="16">
        <f>C50</f>
        <v>0</v>
      </c>
      <c r="D51" s="6"/>
    </row>
    <row r="52" spans="1:4" x14ac:dyDescent="0.3">
      <c r="B52" s="12" t="s">
        <v>185</v>
      </c>
      <c r="C52" s="16">
        <f>C50</f>
        <v>0</v>
      </c>
      <c r="D52" s="6"/>
    </row>
    <row r="53" spans="1:4" x14ac:dyDescent="0.3">
      <c r="C53" s="10"/>
      <c r="D53" s="6"/>
    </row>
    <row r="54" spans="1:4" ht="18.75" x14ac:dyDescent="0.3">
      <c r="A54" s="14">
        <v>6</v>
      </c>
      <c r="B54" s="14" t="s">
        <v>190</v>
      </c>
      <c r="D54" s="8" t="s">
        <v>40</v>
      </c>
    </row>
    <row r="55" spans="1:4" x14ac:dyDescent="0.3">
      <c r="B55" s="1" t="s">
        <v>191</v>
      </c>
      <c r="C55" s="17">
        <v>0.05</v>
      </c>
      <c r="D55" s="91" t="s">
        <v>192</v>
      </c>
    </row>
    <row r="56" spans="1:4" x14ac:dyDescent="0.3">
      <c r="B56" s="1" t="s">
        <v>193</v>
      </c>
      <c r="C56" s="17">
        <v>0.1</v>
      </c>
      <c r="D56" s="91" t="s">
        <v>153</v>
      </c>
    </row>
    <row r="57" spans="1:4" x14ac:dyDescent="0.3">
      <c r="B57" s="1" t="s">
        <v>194</v>
      </c>
      <c r="C57" s="17">
        <v>6.5000000000000002E-2</v>
      </c>
      <c r="D57" s="91" t="s">
        <v>195</v>
      </c>
    </row>
    <row r="58" spans="1:4" hidden="1" x14ac:dyDescent="0.3">
      <c r="C58" s="10"/>
      <c r="D58" s="6"/>
    </row>
    <row r="59" spans="1:4" hidden="1" x14ac:dyDescent="0.3">
      <c r="B59" s="12"/>
      <c r="C59" s="15"/>
      <c r="D59" s="91"/>
    </row>
    <row r="60" spans="1:4" x14ac:dyDescent="0.3">
      <c r="B60" s="1" t="s">
        <v>196</v>
      </c>
      <c r="C60" s="4">
        <f>SUM('2. Planilha Auxiliar Resumo'!G6:G11)</f>
        <v>0</v>
      </c>
      <c r="D60" s="6"/>
    </row>
    <row r="61" spans="1:4" x14ac:dyDescent="0.3">
      <c r="B61" s="12"/>
      <c r="C61" s="15">
        <f>C60/(1-C55-C56-C57)-C60</f>
        <v>0</v>
      </c>
      <c r="D61" s="91" t="s">
        <v>197</v>
      </c>
    </row>
    <row r="62" spans="1:4" x14ac:dyDescent="0.3">
      <c r="C62" s="10"/>
      <c r="D62" s="6"/>
    </row>
    <row r="63" spans="1:4" hidden="1" x14ac:dyDescent="0.3">
      <c r="B63" s="12"/>
      <c r="C63" s="15">
        <f>C62/(1-C55-C56-C57)-C62</f>
        <v>0</v>
      </c>
      <c r="D63" s="91"/>
    </row>
    <row r="64" spans="1:4" hidden="1" x14ac:dyDescent="0.3">
      <c r="C64" s="4"/>
      <c r="D64" s="6"/>
    </row>
    <row r="65" spans="2:4" hidden="1" x14ac:dyDescent="0.3">
      <c r="B65" s="12"/>
      <c r="C65" s="15">
        <f>C64/(1-C55-C56-C57)-C64</f>
        <v>0</v>
      </c>
      <c r="D65" s="91"/>
    </row>
  </sheetData>
  <mergeCells count="1">
    <mergeCell ref="B22:C22"/>
  </mergeCells>
  <pageMargins left="0.511811024" right="0.511811024" top="0.78740157499999996" bottom="0.78740157499999996" header="0.31496062000000002" footer="0.31496062000000002"/>
  <pageSetup paperSize="9" scale="59" orientation="portrait" r:id="rId1"/>
  <colBreaks count="1" manualBreakCount="1">
    <brk id="4" min="1" max="66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5"/>
  <dimension ref="A1:D38"/>
  <sheetViews>
    <sheetView view="pageBreakPreview" topLeftCell="A14" zoomScaleNormal="100" zoomScaleSheetLayoutView="100" workbookViewId="0">
      <selection activeCell="C39" sqref="C39"/>
    </sheetView>
  </sheetViews>
  <sheetFormatPr defaultColWidth="9.140625" defaultRowHeight="16.5" x14ac:dyDescent="0.3"/>
  <cols>
    <col min="1" max="1" width="3.7109375" style="6" customWidth="1"/>
    <col min="2" max="2" width="55" style="1" customWidth="1"/>
    <col min="3" max="3" width="19.28515625" style="1" bestFit="1" customWidth="1"/>
    <col min="4" max="4" width="51.7109375" style="91" customWidth="1"/>
    <col min="5" max="16384" width="9.140625" style="6"/>
  </cols>
  <sheetData>
    <row r="1" spans="1:4" ht="47.45" customHeight="1" x14ac:dyDescent="0.3"/>
    <row r="2" spans="1:4" ht="18.75" x14ac:dyDescent="0.3">
      <c r="A2" s="14">
        <v>1</v>
      </c>
      <c r="B2" s="14" t="s">
        <v>25</v>
      </c>
      <c r="D2" s="91" t="s">
        <v>40</v>
      </c>
    </row>
    <row r="3" spans="1:4" ht="45" x14ac:dyDescent="0.3">
      <c r="B3" s="1" t="s">
        <v>198</v>
      </c>
      <c r="C3" s="19"/>
      <c r="D3" s="91" t="s">
        <v>199</v>
      </c>
    </row>
    <row r="4" spans="1:4" x14ac:dyDescent="0.3">
      <c r="B4" s="1" t="s">
        <v>200</v>
      </c>
      <c r="C4" s="20">
        <f>C3*1.03</f>
        <v>0</v>
      </c>
    </row>
    <row r="5" spans="1:4" ht="16.5" customHeight="1" x14ac:dyDescent="0.3">
      <c r="B5" s="1" t="s">
        <v>201</v>
      </c>
      <c r="C5" s="18">
        <v>100000</v>
      </c>
      <c r="D5" s="92" t="s">
        <v>214</v>
      </c>
    </row>
    <row r="6" spans="1:4" x14ac:dyDescent="0.3">
      <c r="B6" s="12" t="s">
        <v>202</v>
      </c>
      <c r="C6" s="15">
        <f>C5*C4</f>
        <v>0</v>
      </c>
    </row>
    <row r="8" spans="1:4" ht="18.75" x14ac:dyDescent="0.3">
      <c r="A8" s="14">
        <v>2</v>
      </c>
      <c r="B8" s="14" t="s">
        <v>26</v>
      </c>
      <c r="D8" s="91" t="s">
        <v>40</v>
      </c>
    </row>
    <row r="9" spans="1:4" ht="30" x14ac:dyDescent="0.3">
      <c r="B9" s="1" t="s">
        <v>203</v>
      </c>
      <c r="C9" s="19"/>
      <c r="D9" s="91" t="s">
        <v>204</v>
      </c>
    </row>
    <row r="10" spans="1:4" x14ac:dyDescent="0.3">
      <c r="B10" s="1" t="s">
        <v>200</v>
      </c>
      <c r="C10" s="20">
        <f>C9*1.03</f>
        <v>0</v>
      </c>
    </row>
    <row r="11" spans="1:4" x14ac:dyDescent="0.3">
      <c r="B11" s="1" t="s">
        <v>201</v>
      </c>
      <c r="C11" s="18">
        <v>100000</v>
      </c>
      <c r="D11" s="92"/>
    </row>
    <row r="12" spans="1:4" x14ac:dyDescent="0.3">
      <c r="B12" s="12" t="s">
        <v>202</v>
      </c>
      <c r="C12" s="15">
        <f>C11*C10</f>
        <v>0</v>
      </c>
    </row>
    <row r="14" spans="1:4" ht="18.75" x14ac:dyDescent="0.3">
      <c r="A14" s="14">
        <v>3</v>
      </c>
      <c r="B14" s="14" t="s">
        <v>205</v>
      </c>
      <c r="D14" s="91" t="s">
        <v>40</v>
      </c>
    </row>
    <row r="15" spans="1:4" ht="30" x14ac:dyDescent="0.3">
      <c r="B15" s="1" t="s">
        <v>206</v>
      </c>
      <c r="C15" s="19"/>
      <c r="D15" s="91" t="s">
        <v>204</v>
      </c>
    </row>
    <row r="16" spans="1:4" x14ac:dyDescent="0.3">
      <c r="B16" s="1" t="s">
        <v>200</v>
      </c>
      <c r="C16" s="20">
        <f>C15*1.03</f>
        <v>0</v>
      </c>
    </row>
    <row r="17" spans="1:4" ht="20.25" customHeight="1" x14ac:dyDescent="0.3">
      <c r="B17" s="1" t="s">
        <v>201</v>
      </c>
      <c r="C17" s="18">
        <v>100000</v>
      </c>
      <c r="D17" s="92" t="s">
        <v>214</v>
      </c>
    </row>
    <row r="18" spans="1:4" x14ac:dyDescent="0.3">
      <c r="B18" s="12" t="s">
        <v>202</v>
      </c>
      <c r="C18" s="15">
        <f>C17*C16</f>
        <v>0</v>
      </c>
    </row>
    <row r="20" spans="1:4" ht="18.75" x14ac:dyDescent="0.3">
      <c r="A20" s="14">
        <v>4</v>
      </c>
      <c r="B20" s="14" t="s">
        <v>28</v>
      </c>
      <c r="D20" s="91" t="s">
        <v>40</v>
      </c>
    </row>
    <row r="21" spans="1:4" ht="30" x14ac:dyDescent="0.3">
      <c r="B21" s="1" t="s">
        <v>207</v>
      </c>
      <c r="C21" s="19"/>
      <c r="D21" s="91" t="s">
        <v>204</v>
      </c>
    </row>
    <row r="22" spans="1:4" x14ac:dyDescent="0.3">
      <c r="B22" s="1" t="s">
        <v>200</v>
      </c>
      <c r="C22" s="20">
        <f>C21*1.03</f>
        <v>0</v>
      </c>
    </row>
    <row r="23" spans="1:4" ht="18" customHeight="1" x14ac:dyDescent="0.3">
      <c r="B23" s="1" t="s">
        <v>201</v>
      </c>
      <c r="C23" s="18">
        <v>100000</v>
      </c>
      <c r="D23" s="92" t="s">
        <v>214</v>
      </c>
    </row>
    <row r="24" spans="1:4" x14ac:dyDescent="0.3">
      <c r="B24" s="12" t="s">
        <v>202</v>
      </c>
      <c r="C24" s="15">
        <f>C23*C22</f>
        <v>0</v>
      </c>
    </row>
    <row r="25" spans="1:4" x14ac:dyDescent="0.3">
      <c r="C25" s="10"/>
      <c r="D25" s="93"/>
    </row>
    <row r="26" spans="1:4" ht="18.75" x14ac:dyDescent="0.3">
      <c r="A26" s="14">
        <v>5</v>
      </c>
      <c r="B26" s="14" t="s">
        <v>29</v>
      </c>
      <c r="D26" s="91" t="s">
        <v>40</v>
      </c>
    </row>
    <row r="27" spans="1:4" ht="30" x14ac:dyDescent="0.3">
      <c r="B27" s="1" t="s">
        <v>208</v>
      </c>
      <c r="C27" s="19"/>
      <c r="D27" s="91" t="s">
        <v>204</v>
      </c>
    </row>
    <row r="28" spans="1:4" x14ac:dyDescent="0.3">
      <c r="B28" s="1" t="s">
        <v>200</v>
      </c>
      <c r="C28" s="20">
        <f>C27*1.03</f>
        <v>0</v>
      </c>
    </row>
    <row r="29" spans="1:4" ht="15.75" customHeight="1" x14ac:dyDescent="0.3">
      <c r="B29" s="1" t="s">
        <v>201</v>
      </c>
      <c r="C29" s="18">
        <v>100000</v>
      </c>
      <c r="D29" s="92" t="s">
        <v>214</v>
      </c>
    </row>
    <row r="30" spans="1:4" x14ac:dyDescent="0.3">
      <c r="B30" s="12" t="s">
        <v>202</v>
      </c>
      <c r="C30" s="15">
        <f>C29*C28</f>
        <v>0</v>
      </c>
    </row>
    <row r="31" spans="1:4" x14ac:dyDescent="0.3">
      <c r="C31" s="10"/>
      <c r="D31" s="93"/>
    </row>
    <row r="32" spans="1:4" ht="18.75" x14ac:dyDescent="0.3">
      <c r="A32" s="14">
        <v>6</v>
      </c>
      <c r="B32" s="14" t="s">
        <v>22</v>
      </c>
      <c r="D32" s="91" t="s">
        <v>40</v>
      </c>
    </row>
    <row r="33" spans="2:4" x14ac:dyDescent="0.3">
      <c r="B33" s="1" t="s">
        <v>191</v>
      </c>
      <c r="C33" s="17">
        <v>0.05</v>
      </c>
      <c r="D33" s="91" t="s">
        <v>192</v>
      </c>
    </row>
    <row r="34" spans="2:4" x14ac:dyDescent="0.3">
      <c r="B34" s="1" t="s">
        <v>193</v>
      </c>
      <c r="C34" s="17">
        <v>0.1</v>
      </c>
      <c r="D34" s="91" t="s">
        <v>153</v>
      </c>
    </row>
    <row r="35" spans="2:4" x14ac:dyDescent="0.3">
      <c r="B35" s="1" t="s">
        <v>194</v>
      </c>
      <c r="C35" s="17">
        <v>6.5000000000000002E-2</v>
      </c>
      <c r="D35" s="91" t="s">
        <v>195</v>
      </c>
    </row>
    <row r="36" spans="2:4" x14ac:dyDescent="0.3">
      <c r="B36" s="1" t="s">
        <v>209</v>
      </c>
      <c r="C36" s="4">
        <f>SUM('2. Planilha Auxiliar Resumo'!G17:G21)</f>
        <v>0</v>
      </c>
      <c r="D36" s="93"/>
    </row>
    <row r="37" spans="2:4" x14ac:dyDescent="0.3">
      <c r="B37" s="12" t="s">
        <v>202</v>
      </c>
      <c r="C37" s="15">
        <f>C36/(1-C33-C34-C35)-C36</f>
        <v>0</v>
      </c>
      <c r="D37" s="91" t="s">
        <v>197</v>
      </c>
    </row>
    <row r="38" spans="2:4" x14ac:dyDescent="0.3">
      <c r="C38" s="10"/>
      <c r="D38" s="93"/>
    </row>
  </sheetData>
  <pageMargins left="0.511811024" right="0.511811024" top="0.78740157499999996" bottom="0.78740157499999996" header="0.31496062000000002" footer="0.31496062000000002"/>
  <pageSetup paperSize="9" scale="71" orientation="portrait" r:id="rId1"/>
  <colBreaks count="1" manualBreakCount="1">
    <brk id="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61de7c1b-3336-4f35-9e82-7c625761a340">
      <UserInfo>
        <DisplayName>GUILHERME HERRERA MONTENEGRO</DisplayName>
        <AccountId>316</AccountId>
        <AccountType/>
      </UserInfo>
      <UserInfo>
        <DisplayName>ELTON ANTONIO VALENTINI</DisplayName>
        <AccountId>1923</AccountId>
        <AccountType/>
      </UserInfo>
      <UserInfo>
        <DisplayName>RODRIGO SILVA CUNHA</DisplayName>
        <AccountId>87</AccountId>
        <AccountType/>
      </UserInfo>
      <UserInfo>
        <DisplayName>ALESSANDRO CARDOSO DA SILVA</DisplayName>
        <AccountId>185</AccountId>
        <AccountType/>
      </UserInfo>
      <UserInfo>
        <DisplayName>GUILHERME MATEUS DOS ANJOS</DisplayName>
        <AccountId>21</AccountId>
        <AccountType/>
      </UserInfo>
      <UserInfo>
        <DisplayName>MARCIO SOUZA DE MELO</DisplayName>
        <AccountId>165</AccountId>
        <AccountType/>
      </UserInfo>
      <UserInfo>
        <DisplayName>RUDINEI GILMAR SCHMITZ</DisplayName>
        <AccountId>476</AccountId>
        <AccountType/>
      </UserInfo>
      <UserInfo>
        <DisplayName>MARCO AURELIO RIBEIRO CHAVES</DisplayName>
        <AccountId>102</AccountId>
        <AccountType/>
      </UserInfo>
      <UserInfo>
        <DisplayName>BALBUENA CAMPOS MARIELA BEATRIZ</DisplayName>
        <AccountId>5071</AccountId>
        <AccountType/>
      </UserInfo>
    </SharedWithUsers>
    <IconOverlay xmlns="http://schemas.microsoft.com/sharepoint/v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9304D7A705D5B4C8C0D7AD3EC748E4F" ma:contentTypeVersion="11" ma:contentTypeDescription="Crie um novo documento." ma:contentTypeScope="" ma:versionID="c4b7506eaf39cb0d577943aa3f34c32f">
  <xsd:schema xmlns:xsd="http://www.w3.org/2001/XMLSchema" xmlns:xs="http://www.w3.org/2001/XMLSchema" xmlns:p="http://schemas.microsoft.com/office/2006/metadata/properties" xmlns:ns1="http://schemas.microsoft.com/sharepoint/v3" xmlns:ns2="2904bbcf-c17c-4acf-9faf-c960b6d6a79a" xmlns:ns3="http://schemas.microsoft.com/sharepoint/v4" xmlns:ns4="61de7c1b-3336-4f35-9e82-7c625761a340" targetNamespace="http://schemas.microsoft.com/office/2006/metadata/properties" ma:root="true" ma:fieldsID="4d0b8f8341b6cc0d8d43b93c1851d584" ns1:_="" ns2:_="" ns3:_="" ns4:_="">
    <xsd:import namespace="http://schemas.microsoft.com/sharepoint/v3"/>
    <xsd:import namespace="2904bbcf-c17c-4acf-9faf-c960b6d6a79a"/>
    <xsd:import namespace="http://schemas.microsoft.com/sharepoint/v4"/>
    <xsd:import namespace="61de7c1b-3336-4f35-9e82-7c625761a34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IconOverlay" minOccurs="0"/>
                <xsd:element ref="ns1:_vti_ItemDeclaredRecord" minOccurs="0"/>
                <xsd:element ref="ns1:_vti_ItemHoldRecordStatus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11" nillable="true" ma:displayName="Registro Declarado" ma:hidden="true" ma:internalName="_vti_ItemDeclaredRecord" ma:readOnly="true">
      <xsd:simpleType>
        <xsd:restriction base="dms:DateTime"/>
      </xsd:simpleType>
    </xsd:element>
    <xsd:element name="_vti_ItemHoldRecordStatus" ma:index="12" nillable="true" ma:displayName="Status de Registro e Isenção" ma:decimals="0" ma:description="" ma:hidden="true" ma:indexed="true" ma:internalName="_vti_ItemHoldRecord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04bbcf-c17c-4acf-9faf-c960b6d6a7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de7c1b-3336-4f35-9e82-7c625761a34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CF75FF6-619A-4610-B93A-379FF8B0BD3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0504C10-0C60-427E-B52B-51C85FD56C1D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61de7c1b-3336-4f35-9e82-7c625761a340"/>
    <ds:schemaRef ds:uri="a3d3d911-2e28-4898-a5fd-6c3ac7d68c62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0D8CEF3B-212C-4547-91AA-FC0F765A90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7</vt:i4>
      </vt:variant>
    </vt:vector>
  </HeadingPairs>
  <TitlesOfParts>
    <vt:vector size="13" baseType="lpstr">
      <vt:lpstr>Capa</vt:lpstr>
      <vt:lpstr>1. Planilha de Preços</vt:lpstr>
      <vt:lpstr>2. Planilha Auxiliar Resumo</vt:lpstr>
      <vt:lpstr>3. Planilha Auxiliar Pessoal</vt:lpstr>
      <vt:lpstr>4. Memória Cálculo Fixos</vt:lpstr>
      <vt:lpstr>5. Memória Cálculo Variáveis</vt:lpstr>
      <vt:lpstr>'1. Planilha de Preços'!Area_de_impressao</vt:lpstr>
      <vt:lpstr>'3. Planilha Auxiliar Pessoal'!Area_de_impressao</vt:lpstr>
      <vt:lpstr>'1. Planilha de Preços'!Print_Area</vt:lpstr>
      <vt:lpstr>'2. Planilha Auxiliar Resumo'!Print_Area</vt:lpstr>
      <vt:lpstr>'3. Planilha Auxiliar Pessoal'!Print_Area</vt:lpstr>
      <vt:lpstr>'4. Memória Cálculo Fixos'!Print_Area</vt:lpstr>
      <vt:lpstr>'5. Memória Cálculo Variáveis'!Print_Area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Alessandro Cardoso da Silva</dc:creator>
  <cp:keywords/>
  <dc:description/>
  <cp:lastModifiedBy>GUILHERME MATEUS DOS ANJOS</cp:lastModifiedBy>
  <cp:revision/>
  <dcterms:created xsi:type="dcterms:W3CDTF">2014-11-04T11:18:28Z</dcterms:created>
  <dcterms:modified xsi:type="dcterms:W3CDTF">2025-12-12T14:25:59Z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0x010100F9304D7A705D5B4C8C0D7AD3EC748E4F</vt:lpwstr>
  </property>
  <property fmtid="{D5CDD505-2E9C-101B-9397-08002B2CF9AE}" pid="3" name="MediaServiceImageTags">
    <vt:lpwstr/>
  </property>
</Properties>
</file>